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66925"/>
  <mc:AlternateContent xmlns:mc="http://schemas.openxmlformats.org/markup-compatibility/2006">
    <mc:Choice Requires="x15">
      <x15ac:absPath xmlns:x15ac="http://schemas.microsoft.com/office/spreadsheetml/2010/11/ac" url="R:\Financials\Accounting\Regnskap\Perioderegnskap\2021\2021 Q1\Pilar 3\"/>
    </mc:Choice>
  </mc:AlternateContent>
  <xr:revisionPtr revIDLastSave="0" documentId="8_{1C5F02E6-2C6B-4EDA-B11E-1C1E23253AF8}" xr6:coauthVersionLast="46" xr6:coauthVersionMax="46" xr10:uidLastSave="{00000000-0000-0000-0000-000000000000}"/>
  <bookViews>
    <workbookView xWindow="26610" yWindow="2430" windowWidth="21600" windowHeight="11385"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 r:id="rId24"/>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CONTENTS!$A$1:$F$11,CONTENTS!$A$13:$F$39</definedName>
    <definedName name="VarFriPlan">[1]VarFriPlan!$C$1:$C$26</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9" i="33" l="1"/>
  <c r="S19" i="33"/>
  <c r="AC17" i="33"/>
  <c r="AC19" i="33" s="1"/>
  <c r="AD19" i="33" s="1"/>
  <c r="X17" i="33"/>
  <c r="Y17" i="33" s="1"/>
  <c r="AD14" i="33"/>
  <c r="AC14" i="33"/>
  <c r="AA14" i="33"/>
  <c r="Y14" i="33"/>
  <c r="V14" i="33"/>
  <c r="AD13" i="33"/>
  <c r="AA13" i="33"/>
  <c r="Y13" i="33"/>
  <c r="V13" i="33"/>
  <c r="AC12" i="33"/>
  <c r="AD12" i="33" s="1"/>
  <c r="X12" i="33"/>
  <c r="V12" i="33" s="1"/>
  <c r="AC11" i="33"/>
  <c r="AB11" i="33" s="1"/>
  <c r="AA11" i="33"/>
  <c r="Y11" i="33"/>
  <c r="V11" i="33"/>
  <c r="W11" i="33" s="1"/>
  <c r="Q11" i="33"/>
  <c r="R11" i="33" s="1"/>
  <c r="AD10" i="33"/>
  <c r="AC10" i="33"/>
  <c r="AA10" i="33"/>
  <c r="X10" i="33"/>
  <c r="Y10" i="33" s="1"/>
  <c r="V10" i="33"/>
  <c r="AC9" i="33"/>
  <c r="AD9" i="33" s="1"/>
  <c r="AA9" i="33"/>
  <c r="Y9" i="33"/>
  <c r="V9" i="33"/>
  <c r="D33" i="5"/>
  <c r="H11" i="12"/>
  <c r="G11" i="12"/>
  <c r="F11" i="12"/>
  <c r="D11" i="12"/>
  <c r="E11" i="12"/>
  <c r="E10" i="12"/>
  <c r="D10" i="12"/>
  <c r="F10" i="12"/>
  <c r="E39" i="41"/>
  <c r="D39" i="41"/>
  <c r="C39" i="41"/>
  <c r="G35" i="42"/>
  <c r="F35" i="42"/>
  <c r="E35" i="42"/>
  <c r="D35" i="42"/>
  <c r="C35" i="42"/>
  <c r="B35" i="42"/>
  <c r="G28" i="42"/>
  <c r="F28" i="42"/>
  <c r="E28" i="42"/>
  <c r="D28" i="42"/>
  <c r="C28" i="42"/>
  <c r="B28" i="42"/>
  <c r="G25" i="42"/>
  <c r="Y12" i="33" l="1"/>
  <c r="AD17" i="33"/>
  <c r="AA12" i="33"/>
  <c r="AD11" i="33"/>
  <c r="X19" i="33"/>
  <c r="Y19" i="33" s="1"/>
  <c r="I11" i="12"/>
  <c r="I10" i="12"/>
  <c r="L13" i="22" l="1"/>
  <c r="T13" i="22" s="1"/>
  <c r="T11" i="22"/>
  <c r="T12" i="22"/>
  <c r="T14" i="22"/>
  <c r="T15" i="22"/>
  <c r="T16" i="22"/>
  <c r="T10" i="22"/>
  <c r="L17" i="22"/>
  <c r="M13" i="22"/>
  <c r="M17" i="22" s="1"/>
  <c r="E17" i="22"/>
  <c r="F17" i="22"/>
  <c r="G17" i="22"/>
  <c r="H17" i="22"/>
  <c r="I17" i="22"/>
  <c r="J17" i="22"/>
  <c r="K17" i="22"/>
  <c r="N17" i="22"/>
  <c r="O17" i="22"/>
  <c r="P17" i="22"/>
  <c r="Q17" i="22"/>
  <c r="R17" i="22"/>
  <c r="S17" i="22"/>
  <c r="D17" i="22"/>
  <c r="D10" i="22"/>
  <c r="D12" i="16"/>
  <c r="G10" i="16"/>
  <c r="G12" i="16" s="1"/>
  <c r="F10" i="16"/>
  <c r="F12" i="16" s="1"/>
  <c r="E10" i="16"/>
  <c r="E12" i="16" s="1"/>
  <c r="D10" i="16"/>
  <c r="T17" i="22" l="1"/>
  <c r="C13" i="15" l="1"/>
  <c r="I13" i="15" s="1"/>
  <c r="C12" i="15"/>
  <c r="I12" i="15" s="1"/>
  <c r="C11" i="15"/>
  <c r="I11" i="15" s="1"/>
  <c r="D14" i="15"/>
  <c r="E18" i="13"/>
  <c r="D18" i="13"/>
  <c r="E14" i="13"/>
  <c r="E17" i="13" s="1"/>
  <c r="D17" i="13"/>
  <c r="J12" i="13"/>
  <c r="J13" i="13"/>
  <c r="J15" i="13"/>
  <c r="J16" i="13"/>
  <c r="J11" i="13"/>
  <c r="E15" i="13"/>
  <c r="C14" i="15" l="1"/>
  <c r="I14" i="15" s="1"/>
  <c r="J18" i="13"/>
  <c r="J14" i="13"/>
  <c r="J17" i="13"/>
  <c r="E35" i="6" l="1"/>
  <c r="E34" i="6"/>
  <c r="E10" i="6"/>
  <c r="D10" i="5"/>
  <c r="D8" i="4"/>
  <c r="D13" i="4"/>
  <c r="D15" i="4" s="1"/>
  <c r="D29" i="5" l="1"/>
  <c r="D14" i="3" l="1"/>
  <c r="N14" i="3" s="1"/>
  <c r="D13" i="3"/>
  <c r="D12" i="3"/>
  <c r="N13" i="3" l="1"/>
  <c r="N12" i="3"/>
  <c r="M22" i="3" s="1"/>
  <c r="G18" i="42" l="1"/>
  <c r="C37" i="41"/>
  <c r="D38" i="41"/>
  <c r="D37" i="41"/>
  <c r="E37" i="41"/>
  <c r="E38" i="41" l="1"/>
  <c r="F37" i="41" s="1"/>
  <c r="F38" i="41" s="1"/>
  <c r="F30" i="41"/>
  <c r="F31" i="41" s="1"/>
  <c r="D31" i="41"/>
  <c r="C31" i="41"/>
  <c r="H23" i="41"/>
  <c r="C23" i="41"/>
  <c r="C18" i="41" l="1"/>
  <c r="C17" i="41"/>
  <c r="C15" i="41"/>
  <c r="C14" i="41"/>
  <c r="C13" i="41"/>
  <c r="C12" i="41"/>
  <c r="I12" i="12" l="1"/>
  <c r="E12" i="12"/>
  <c r="F12" i="12"/>
  <c r="G12" i="12"/>
  <c r="H12" i="12"/>
  <c r="D12" i="12"/>
  <c r="E17" i="6"/>
  <c r="E13" i="6"/>
  <c r="E33" i="6"/>
  <c r="D12" i="5"/>
  <c r="D31" i="5"/>
  <c r="M21" i="3"/>
  <c r="M23" i="3" s="1"/>
  <c r="E26" i="6" l="1"/>
  <c r="E30" i="6" s="1"/>
  <c r="D30" i="6" s="1"/>
  <c r="D31" i="6" s="1"/>
  <c r="D34" i="5"/>
  <c r="D36" i="5" s="1"/>
  <c r="E31" i="6" l="1"/>
  <c r="H18" i="42"/>
  <c r="C8" i="42"/>
  <c r="C7" i="42"/>
  <c r="G19" i="42" l="1"/>
  <c r="H19" i="42" s="1"/>
  <c r="C13" i="42" l="1"/>
  <c r="C14" i="42" s="1"/>
  <c r="B7" i="2" l="1"/>
  <c r="B8" i="2" s="1"/>
  <c r="B9" i="2" s="1"/>
  <c r="B10" i="2" s="1"/>
  <c r="B11" i="2" s="1"/>
  <c r="B12" i="2" s="1"/>
  <c r="B13" i="2" s="1"/>
  <c r="B14" i="2" s="1"/>
  <c r="B15" i="2" s="1"/>
  <c r="B16" i="2" s="1"/>
  <c r="B17" i="2" s="1"/>
  <c r="B18" i="2" s="1"/>
  <c r="B19" i="2" s="1"/>
  <c r="B20" i="2" s="1"/>
  <c r="B21" i="2" s="1"/>
  <c r="B22" i="2" s="1"/>
  <c r="B23" i="2" s="1"/>
  <c r="D19" i="42" l="1"/>
  <c r="E19" i="42"/>
  <c r="F19" i="42"/>
  <c r="C19" i="42"/>
</calcChain>
</file>

<file path=xl/sharedStrings.xml><?xml version="1.0" encoding="utf-8"?>
<sst xmlns="http://schemas.openxmlformats.org/spreadsheetml/2006/main" count="941" uniqueCount="701">
  <si>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</si>
  <si>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</si>
  <si>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</si>
  <si>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</si>
  <si>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</si>
  <si>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</si>
  <si>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</si>
  <si>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</si>
  <si>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</si>
  <si>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</si>
  <si>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</si>
  <si>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</si>
  <si>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</si>
  <si>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</si>
  <si>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</si>
  <si>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</si>
  <si>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</si>
  <si>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</si>
  <si>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</si>
  <si>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</si>
  <si>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</si>
  <si>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</si>
  <si>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</si>
  <si>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</si>
  <si>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</si>
  <si>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</si>
  <si>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</si>
  <si>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</si>
  <si>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</si>
  <si>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</si>
  <si>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</si>
  <si>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</si>
  <si>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</si>
  <si>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</si>
  <si>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</si>
  <si>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</si>
  <si>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</si>
  <si>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</si>
  <si>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</si>
  <si>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</si>
  <si>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</si>
  <si>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</si>
  <si>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</si>
  <si>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</si>
  <si>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</si>
  <si>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</si>
  <si>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</si>
  <si>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</si>
  <si>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</si>
  <si>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</si>
  <si>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</si>
  <si>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</si>
  <si>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</si>
  <si>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</si>
  <si>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</si>
  <si>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</si>
  <si>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</si>
  <si>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</si>
  <si>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</si>
  <si>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</si>
  <si>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</si>
  <si>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</si>
  <si>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</si>
  <si>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</si>
  <si>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</si>
  <si>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</si>
  <si>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</si>
  <si>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</si>
  <si>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</si>
  <si>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</si>
  <si>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</si>
  <si>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</si>
  <si>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</si>
  <si>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</si>
  <si>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</si>
  <si>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</si>
  <si>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</si>
  <si>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</si>
  <si>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</si>
  <si>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</si>
  <si>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</si>
  <si>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</si>
  <si>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</si>
  <si>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</si>
  <si>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</si>
  <si>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</si>
  <si>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</si>
  <si>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</si>
  <si>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</si>
  <si>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</si>
  <si>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</si>
  <si>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</si>
  <si>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</si>
  <si>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</si>
  <si>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</si>
  <si>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</si>
  <si>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</si>
  <si>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</si>
  <si>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</si>
  <si>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</si>
  <si>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</si>
  <si>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</si>
  <si>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</si>
  <si>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</si>
  <si>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</si>
  <si>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</si>
  <si>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</si>
  <si>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</si>
  <si>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</si>
  <si>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</si>
  <si>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</si>
  <si>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</si>
  <si>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</si>
  <si>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</si>
  <si>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</si>
  <si>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</si>
  <si>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</si>
  <si>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</si>
  <si>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</si>
  <si>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</si>
  <si>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</si>
  <si>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</si>
  <si>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</si>
  <si>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</si>
  <si>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</si>
  <si>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</si>
  <si>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</si>
  <si>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</si>
  <si>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</si>
  <si>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</si>
  <si>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</si>
  <si>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</si>
  <si>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</si>
  <si>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</si>
  <si>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</si>
  <si>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</si>
  <si>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</si>
  <si>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</si>
  <si>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</si>
  <si>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</si>
  <si>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</si>
  <si>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</si>
  <si>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</si>
  <si>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</si>
  <si>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</si>
  <si>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</si>
  <si>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</si>
  <si>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</si>
  <si>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</si>
  <si>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</si>
  <si>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</si>
  <si>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</si>
  <si>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</si>
  <si>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</si>
  <si>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</si>
  <si>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</si>
  <si>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</si>
  <si>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 30 days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</si>
  <si>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</si>
  <si>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</si>
  <si>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</si>
  <si>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</si>
  <si>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</si>
  <si>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</si>
  <si>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</si>
  <si>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</si>
  <si>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</si>
  <si>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</si>
  <si>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</si>
  <si>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</si>
  <si>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</si>
  <si>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</si>
  <si>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</si>
  <si>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</si>
  <si>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</si>
  <si>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</si>
  <si>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</si>
  <si>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</si>
  <si>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</si>
  <si>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</si>
  <si>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</si>
  <si>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</si>
  <si>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</si>
  <si>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</si>
  <si>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</si>
  <si>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</si>
  <si>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</si>
  <si>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</si>
  <si>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</si>
  <si>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</si>
  <si>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</si>
  <si>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</si>
  <si>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</si>
  <si>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</si>
  <si>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</si>
  <si>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</si>
  <si>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</si>
  <si>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</si>
  <si>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</si>
  <si>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</si>
  <si>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</si>
  <si>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</si>
  <si>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</si>
  <si>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</si>
  <si>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</si>
  <si>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</si>
  <si>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</si>
  <si>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</si>
  <si>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</si>
  <si>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</si>
  <si>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</si>
  <si>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</si>
  <si>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</si>
  <si>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</si>
  <si>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</si>
  <si>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</si>
  <si>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</si>
  <si>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</si>
  <si>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</si>
  <si>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</si>
  <si>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</si>
  <si>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</si>
  <si>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</si>
  <si>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</si>
  <si>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</si>
  <si>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</si>
  <si>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</si>
  <si>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</si>
  <si>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</si>
  <si>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</si>
  <si>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</si>
  <si>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</si>
  <si>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</si>
  <si>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</si>
  <si>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</si>
  <si>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</si>
  <si>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</si>
  <si>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</si>
  <si>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</si>
  <si>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</si>
  <si>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</si>
  <si>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</si>
  <si>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</si>
  <si>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</si>
  <si>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</si>
  <si>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</si>
  <si>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</si>
  <si>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</si>
  <si>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</si>
  <si>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</si>
  <si>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</si>
  <si>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</si>
  <si>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</si>
  <si>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</si>
  <si>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</si>
  <si>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</si>
  <si>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</si>
  <si>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</si>
  <si>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</si>
  <si>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</si>
  <si>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</si>
  <si>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</si>
  <si>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</si>
  <si>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</si>
  <si>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</si>
  <si>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</si>
  <si>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</si>
  <si>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</si>
  <si>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</si>
  <si>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</si>
  <si>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</si>
  <si>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</si>
  <si>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</si>
  <si>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</si>
  <si>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</si>
  <si>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</si>
  <si>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</si>
  <si>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</si>
  <si>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</si>
  <si>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</si>
  <si>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</si>
  <si>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</si>
  <si>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</si>
  <si>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</si>
  <si>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</si>
  <si>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</si>
  <si>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</si>
  <si>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</si>
  <si>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</si>
  <si>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</si>
  <si>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</si>
  <si>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</si>
  <si>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</si>
  <si>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</si>
  <si>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</si>
  <si>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</si>
  <si>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</si>
  <si>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</si>
  <si>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</si>
  <si>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</si>
  <si>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</si>
  <si>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</si>
  <si>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</si>
  <si>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</si>
  <si>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</si>
  <si>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</si>
  <si>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</si>
  <si>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</si>
  <si>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</si>
  <si>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</si>
  <si>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</si>
  <si>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</si>
  <si>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</si>
  <si>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</si>
  <si>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</si>
  <si>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</si>
  <si>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</si>
  <si>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</si>
  <si>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</si>
  <si>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</si>
  <si>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</si>
  <si>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</si>
  <si>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</si>
  <si>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</si>
  <si>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</si>
  <si>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</si>
  <si>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</si>
  <si>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</si>
  <si>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</si>
  <si>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</si>
  <si>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</si>
  <si>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</si>
  <si>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</si>
  <si>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</si>
  <si>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</si>
  <si>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</si>
  <si>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</si>
  <si>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</si>
  <si>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</si>
  <si>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</si>
  <si>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</si>
  <si>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</si>
  <si>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</si>
  <si>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</si>
  <si>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</si>
  <si>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</si>
  <si>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</si>
  <si>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</si>
  <si>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</si>
  <si>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</si>
  <si>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</si>
  <si>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</si>
  <si>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</si>
  <si>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</si>
  <si>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</si>
  <si>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</si>
  <si>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</si>
  <si>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</si>
  <si>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</si>
  <si>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</si>
  <si>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</si>
  <si>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</si>
  <si>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</si>
  <si>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</si>
  <si>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</si>
  <si>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</si>
  <si>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</si>
  <si>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</si>
  <si>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</si>
  <si>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</si>
  <si>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</si>
  <si>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</si>
  <si>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</si>
  <si>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</si>
  <si>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</si>
  <si>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</si>
  <si>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</si>
  <si>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</si>
  <si>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</si>
  <si>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</si>
  <si>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</si>
  <si>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</si>
  <si>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</si>
  <si>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</si>
  <si>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</si>
  <si>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</si>
  <si>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</si>
  <si>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</si>
  <si>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</si>
  <si>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</si>
  <si>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</si>
  <si>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</si>
  <si>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</si>
  <si>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</si>
  <si>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</si>
  <si>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</si>
  <si>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</si>
  <si>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</si>
  <si>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</si>
  <si>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</si>
  <si>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</si>
  <si>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</si>
  <si>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</si>
  <si>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</si>
  <si>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</si>
  <si>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</si>
  <si>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</si>
  <si>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</si>
  <si>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</si>
  <si>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</si>
  <si>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</si>
  <si>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</si>
  <si>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Subordinated loan capital</t>
  </si>
  <si>
    <t>Subordinated bonds capital</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</si>
  <si>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</si>
  <si>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</si>
  <si>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</si>
  <si>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</si>
  <si>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</si>
  <si>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</si>
  <si>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</si>
  <si>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</si>
  <si>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</si>
  <si>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</si>
  <si>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</si>
  <si>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</si>
  <si>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</si>
  <si>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</si>
  <si>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</si>
  <si>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</si>
  <si>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</si>
  <si>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</si>
  <si>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</si>
  <si>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</si>
  <si>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</si>
  <si>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</si>
  <si>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</si>
  <si>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</si>
  <si>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</si>
  <si>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</si>
  <si>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</si>
  <si>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</si>
  <si>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</si>
  <si>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</si>
  <si>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</si>
  <si>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</si>
  <si>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</si>
  <si>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</si>
  <si>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</si>
  <si>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</si>
  <si>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</si>
  <si>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</si>
  <si>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</si>
  <si>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</si>
  <si>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</si>
  <si>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</si>
  <si>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</si>
  <si>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</si>
  <si>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</si>
  <si>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</si>
  <si>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</si>
  <si>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</si>
  <si>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</si>
  <si>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</si>
  <si>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</si>
  <si>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</si>
  <si>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</si>
  <si>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</si>
  <si>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</si>
  <si>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</si>
  <si>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</si>
  <si>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</si>
  <si>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</si>
  <si>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</si>
  <si>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</si>
  <si>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</si>
  <si>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</si>
  <si>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</si>
  <si>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</si>
  <si>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</si>
  <si>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</si>
  <si>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</si>
  <si>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</si>
  <si>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</si>
  <si>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</si>
  <si>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</si>
  <si>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</si>
  <si>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</si>
  <si>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</si>
  <si>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</si>
  <si>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</si>
  <si>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</si>
  <si>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</si>
  <si>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</si>
  <si>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</si>
  <si>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</si>
  <si>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</si>
  <si>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</si>
  <si>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</si>
  <si>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</si>
  <si>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</si>
  <si>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</si>
  <si>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</si>
  <si>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</si>
  <si>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</si>
  <si>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</si>
  <si>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</si>
  <si>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</si>
  <si>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</si>
  <si>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</si>
  <si>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</si>
  <si>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</si>
  <si>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</si>
  <si>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</si>
  <si>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Komplett Bank - Risk and capital management / Pillar 3 additional disclosures</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</si>
  <si>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</si>
  <si>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</si>
  <si>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</si>
  <si>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</si>
  <si>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</si>
  <si>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</si>
  <si>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</si>
  <si>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</si>
  <si>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</si>
  <si>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</si>
  <si>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</si>
  <si>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</si>
  <si>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</si>
  <si>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</si>
  <si>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</si>
  <si>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</si>
  <si>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</si>
  <si>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</si>
  <si>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Sum RWA</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</si>
  <si>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</si>
  <si>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</si>
  <si>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</si>
  <si>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</si>
  <si>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</si>
  <si>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</si>
  <si>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</si>
  <si>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</si>
  <si>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</si>
  <si>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</si>
  <si>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</si>
  <si>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</si>
  <si>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</si>
  <si>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</si>
  <si>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</si>
  <si>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</si>
  <si>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</si>
  <si>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</si>
  <si>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</si>
  <si>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</si>
  <si>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</si>
  <si>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</si>
  <si>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</si>
  <si>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</si>
  <si>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</si>
  <si>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</si>
  <si>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</si>
  <si>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</si>
  <si>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</si>
  <si>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</si>
  <si>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</si>
  <si>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</si>
  <si>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</si>
  <si>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</si>
  <si>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</si>
  <si>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</si>
  <si>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</si>
  <si>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</si>
  <si>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</si>
  <si>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</si>
  <si>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</si>
  <si>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</si>
  <si>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</si>
  <si>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</si>
  <si>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</si>
  <si>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</si>
  <si>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</si>
  <si>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</si>
  <si>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</si>
  <si>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</si>
  <si>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</si>
  <si>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Komplett Bank</t>
  </si>
  <si>
    <t>NO0010757768</t>
  </si>
  <si>
    <t>23 February 2016</t>
  </si>
  <si>
    <t xml:space="preserve">NOK 65m </t>
  </si>
  <si>
    <t>NOK 65m</t>
  </si>
  <si>
    <t>23 February 2026</t>
  </si>
  <si>
    <t>23 February  2026
100 percent of nominal value
In addition "regulatory redemption right" as 100 % of nominal value with the addition of accrued interest</t>
  </si>
  <si>
    <t>3 m NIBOR (minimum 0 %) + 5.00 percent</t>
  </si>
  <si>
    <t>NOK 200m</t>
  </si>
  <si>
    <t>NO0010886542</t>
  </si>
  <si>
    <t>26 June 2020</t>
  </si>
  <si>
    <t>26 June 2025
100 percent of nominal value
In addition "regulatory redemption right" as 100 % of nominal value with the addition of accrued interest</t>
  </si>
  <si>
    <t>Every interest payment after 23 February 2026</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</si>
  <si>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</si>
  <si>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</si>
  <si>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</si>
  <si>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</si>
  <si>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</si>
  <si>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</si>
  <si>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</si>
  <si>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</si>
  <si>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</si>
  <si>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</si>
  <si>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</si>
  <si>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</si>
  <si>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</si>
  <si>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</si>
  <si>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</si>
  <si>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</si>
  <si>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</si>
  <si>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</si>
  <si>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</si>
  <si>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</si>
  <si>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</si>
  <si>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</si>
  <si>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</si>
  <si>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</si>
  <si>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</si>
  <si>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</si>
  <si>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</si>
  <si>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</si>
  <si>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</si>
  <si>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</si>
  <si>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</si>
  <si>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</si>
  <si>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</si>
  <si>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</si>
  <si>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</si>
  <si>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</si>
  <si>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</si>
  <si>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</si>
  <si>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</si>
  <si>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</si>
  <si>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</si>
  <si>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</si>
  <si>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</si>
  <si>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</si>
  <si>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</si>
  <si>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</si>
  <si>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</si>
  <si>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</si>
  <si>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</si>
  <si>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</si>
  <si>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</si>
  <si>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</si>
  <si>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</si>
  <si>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</si>
  <si>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</si>
  <si>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</si>
  <si>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</si>
  <si>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</si>
  <si>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</si>
  <si>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</si>
  <si>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</si>
  <si>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</si>
  <si>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</si>
  <si>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</si>
  <si>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</si>
  <si>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</si>
  <si>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</si>
  <si>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</si>
  <si>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</si>
  <si>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</si>
  <si>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</si>
  <si>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</si>
  <si>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</si>
  <si>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</si>
  <si>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</si>
  <si>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</si>
  <si>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</si>
  <si>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</si>
  <si>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</si>
  <si>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</si>
  <si>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</si>
  <si>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</si>
  <si>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</si>
  <si>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</si>
  <si>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</si>
  <si>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</si>
  <si>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</si>
  <si>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</si>
  <si>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</si>
  <si>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</si>
  <si>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</si>
  <si>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</si>
  <si>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Change in value, balance sheet total 31.12.2020</t>
  </si>
  <si>
    <t>Net currency exposure at 31/12-2020</t>
  </si>
  <si>
    <t>Spread risk broken down by sector calculated according to methodology in circular 12/2016 (31.12.2020)</t>
  </si>
  <si>
    <t>Residual time to maturity (nominal value pr 31.12.2020)</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</si>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</sst>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top style="thin">
        <color indexed="0"/>
      </top>
      <bottom/>
      <diagonal/>
    </border>
    <border>
      <left/>
      <right/>
      <top/>
      <bottom style="thin">
        <color rgb="FF000000"/>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cellStyleXfs>
  <cellXfs count="543">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3"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3"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4" applyFont="1" applyFill="1">
      <alignment vertical="center"/>
    </xf>
    <xf numFmtId="0" fontId="11" fillId="4" borderId="0" xfId="5" applyFont="1" applyFill="1">
      <alignment vertical="center"/>
    </xf>
    <xf numFmtId="0" fontId="12" fillId="4" borderId="0" xfId="6" applyFont="1" applyFill="1" applyBorder="1" applyAlignment="1">
      <alignment vertical="center"/>
    </xf>
    <xf numFmtId="0" fontId="12" fillId="4" borderId="0" xfId="7" applyFont="1" applyFill="1" applyBorder="1" applyAlignment="1">
      <alignment horizontal="left" vertical="center"/>
    </xf>
    <xf numFmtId="0" fontId="12" fillId="4" borderId="0" xfId="7" applyFont="1" applyFill="1" applyBorder="1" applyAlignment="1">
      <alignment vertical="center"/>
    </xf>
    <xf numFmtId="0" fontId="11" fillId="0" borderId="5" xfId="5" applyFont="1" applyBorder="1">
      <alignment vertical="center"/>
    </xf>
    <xf numFmtId="0" fontId="12" fillId="0" borderId="13" xfId="7" applyFont="1" applyFill="1" applyBorder="1" applyAlignment="1">
      <alignment vertical="center"/>
    </xf>
    <xf numFmtId="0" fontId="11" fillId="0" borderId="0" xfId="4" applyFont="1">
      <alignment vertical="center"/>
    </xf>
    <xf numFmtId="0" fontId="11" fillId="0" borderId="11" xfId="5" applyFont="1" applyBorder="1">
      <alignment vertical="center"/>
    </xf>
    <xf numFmtId="0" fontId="11" fillId="0" borderId="20" xfId="5" applyFont="1" applyBorder="1">
      <alignment vertical="center"/>
    </xf>
    <xf numFmtId="0" fontId="11" fillId="0" borderId="20" xfId="4" applyFont="1" applyBorder="1">
      <alignment vertical="center"/>
    </xf>
    <xf numFmtId="0" fontId="11" fillId="0" borderId="7" xfId="8" applyFont="1" applyFill="1" applyBorder="1" applyAlignment="1">
      <alignment horizontal="right" vertical="center" wrapText="1"/>
    </xf>
    <xf numFmtId="0" fontId="11" fillId="4" borderId="18" xfId="4" applyFont="1" applyFill="1" applyBorder="1">
      <alignment vertical="center"/>
    </xf>
    <xf numFmtId="0" fontId="11" fillId="0" borderId="7" xfId="5" quotePrefix="1" applyFont="1" applyBorder="1" applyAlignment="1">
      <alignment horizontal="center" vertical="center"/>
    </xf>
    <xf numFmtId="0" fontId="11" fillId="3" borderId="7" xfId="5" quotePrefix="1" applyFont="1" applyFill="1" applyBorder="1" applyAlignment="1">
      <alignment horizontal="center" vertical="center"/>
    </xf>
    <xf numFmtId="3" fontId="11" fillId="0" borderId="0" xfId="9" applyFont="1" applyFill="1" applyBorder="1" applyAlignment="1">
      <alignment horizontal="center" vertical="center"/>
      <protection locked="0"/>
    </xf>
    <xf numFmtId="3" fontId="11" fillId="2" borderId="0" xfId="9" applyFont="1" applyFill="1" applyBorder="1" applyAlignment="1">
      <alignment horizontal="center" vertical="center"/>
      <protection locked="0"/>
    </xf>
    <xf numFmtId="0" fontId="11" fillId="2" borderId="0" xfId="5" quotePrefix="1" applyFont="1" applyFill="1" applyAlignment="1">
      <alignment horizontal="right" vertical="center"/>
    </xf>
    <xf numFmtId="0" fontId="19" fillId="2" borderId="0" xfId="5" applyFont="1" applyFill="1" applyAlignment="1">
      <alignment horizontal="left" vertical="center" wrapText="1" indent="1"/>
    </xf>
    <xf numFmtId="0" fontId="11" fillId="2" borderId="0" xfId="4" applyFont="1" applyFill="1">
      <alignment vertical="center"/>
    </xf>
    <xf numFmtId="0" fontId="12" fillId="0" borderId="0" xfId="5" applyFont="1" applyAlignment="1">
      <alignment horizontal="center" vertical="center" wrapText="1"/>
    </xf>
    <xf numFmtId="0" fontId="11" fillId="0" borderId="0" xfId="5" quotePrefix="1" applyFont="1" applyAlignment="1">
      <alignment horizontal="center" vertical="center"/>
    </xf>
    <xf numFmtId="3" fontId="11" fillId="2" borderId="7" xfId="9" applyFont="1" applyFill="1">
      <alignment horizontal="right" vertical="center"/>
      <protection locked="0"/>
    </xf>
    <xf numFmtId="0" fontId="12" fillId="0" borderId="0" xfId="8" applyFont="1" applyFill="1" applyBorder="1" applyAlignment="1">
      <alignment horizontal="center" vertical="center" wrapText="1"/>
    </xf>
    <xf numFmtId="0" fontId="11" fillId="4" borderId="4" xfId="5" quotePrefix="1" applyFont="1" applyFill="1" applyBorder="1" applyAlignment="1">
      <alignment horizontal="center" vertical="center"/>
    </xf>
    <xf numFmtId="0" fontId="11" fillId="4" borderId="0" xfId="4" applyFont="1" applyFill="1" applyAlignment="1">
      <alignment vertical="center" wrapText="1"/>
    </xf>
    <xf numFmtId="0" fontId="12" fillId="4" borderId="0" xfId="4" applyFont="1" applyFill="1">
      <alignment vertical="center"/>
    </xf>
    <xf numFmtId="0" fontId="20" fillId="4" borderId="11" xfId="4"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4" applyFont="1" applyFill="1" applyBorder="1" applyAlignment="1">
      <alignment vertical="top"/>
    </xf>
    <xf numFmtId="0" fontId="11" fillId="4" borderId="20" xfId="4" applyFont="1" applyFill="1" applyBorder="1" applyAlignment="1">
      <alignment vertical="top"/>
    </xf>
    <xf numFmtId="0" fontId="11" fillId="4" borderId="0" xfId="4"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3"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3"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3"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3"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3"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3"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10" applyNumberFormat="1" applyFont="1"/>
    <xf numFmtId="0" fontId="31" fillId="0" borderId="0" xfId="10" applyFont="1"/>
    <xf numFmtId="0" fontId="32" fillId="7" borderId="0" xfId="0" applyFont="1" applyFill="1"/>
    <xf numFmtId="0" fontId="2" fillId="7" borderId="0" xfId="0" applyFont="1" applyFill="1"/>
    <xf numFmtId="0" fontId="11" fillId="7" borderId="7" xfId="0" applyFont="1" applyFill="1" applyBorder="1"/>
    <xf numFmtId="3" fontId="11" fillId="0" borderId="7" xfId="12" quotePrefix="1" applyNumberFormat="1" applyFont="1" applyBorder="1" applyAlignment="1">
      <alignment horizontal="right"/>
    </xf>
    <xf numFmtId="0" fontId="11" fillId="0" borderId="0" xfId="10" applyFont="1"/>
    <xf numFmtId="0" fontId="12" fillId="7" borderId="7" xfId="0" applyFont="1" applyFill="1" applyBorder="1"/>
    <xf numFmtId="3" fontId="12" fillId="0" borderId="7" xfId="12" quotePrefix="1" applyNumberFormat="1" applyFont="1" applyBorder="1" applyAlignment="1">
      <alignment horizontal="right"/>
    </xf>
    <xf numFmtId="0" fontId="13" fillId="0" borderId="0" xfId="10" applyFont="1"/>
    <xf numFmtId="3" fontId="11" fillId="0" borderId="7" xfId="12" applyNumberFormat="1" applyFont="1" applyBorder="1"/>
    <xf numFmtId="0" fontId="19" fillId="7" borderId="7" xfId="0" applyFont="1" applyFill="1" applyBorder="1"/>
    <xf numFmtId="3" fontId="19" fillId="0" borderId="7" xfId="12" applyNumberFormat="1" applyFont="1" applyBorder="1"/>
    <xf numFmtId="0" fontId="11" fillId="7" borderId="7" xfId="0" applyFont="1" applyFill="1" applyBorder="1" applyAlignment="1">
      <alignment horizontal="left" indent="1"/>
    </xf>
    <xf numFmtId="0" fontId="13" fillId="0" borderId="7" xfId="10" applyFont="1" applyBorder="1"/>
    <xf numFmtId="169" fontId="11" fillId="0" borderId="7" xfId="10" applyNumberFormat="1" applyFont="1" applyBorder="1" applyAlignment="1">
      <alignment horizontal="right"/>
    </xf>
    <xf numFmtId="0" fontId="27" fillId="0" borderId="7" xfId="10" applyFont="1" applyBorder="1"/>
    <xf numFmtId="169" fontId="12" fillId="0" borderId="7" xfId="10" applyNumberFormat="1" applyFont="1" applyBorder="1" applyAlignment="1">
      <alignment horizontal="right"/>
    </xf>
    <xf numFmtId="169" fontId="11" fillId="0" borderId="0" xfId="10" applyNumberFormat="1" applyFont="1" applyAlignment="1">
      <alignment horizontal="right"/>
    </xf>
    <xf numFmtId="0" fontId="31" fillId="2" borderId="0" xfId="10"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4"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4"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3"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4"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4" applyNumberFormat="1" applyFont="1" applyFill="1" applyBorder="1" applyAlignment="1">
      <alignment horizontal="right"/>
    </xf>
    <xf numFmtId="166" fontId="26" fillId="0" borderId="7" xfId="14"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3"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4"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7" borderId="7" xfId="0" applyFont="1" applyFill="1" applyBorder="1" applyAlignment="1">
      <alignment horizontal="center" wrapText="1"/>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3" fontId="12"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10"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3" fontId="19" fillId="6" borderId="7" xfId="0" quotePrefix="1" applyNumberFormat="1" applyFont="1" applyFill="1" applyBorder="1" applyAlignment="1">
      <alignment horizontal="right"/>
    </xf>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9" fontId="11" fillId="6" borderId="7" xfId="1" quotePrefix="1" applyFont="1" applyFill="1" applyBorder="1" applyAlignment="1">
      <alignment horizontal="right"/>
    </xf>
    <xf numFmtId="14" fontId="11" fillId="6" borderId="6" xfId="0" applyNumberFormat="1" applyFont="1" applyFill="1" applyBorder="1" applyAlignment="1">
      <alignment horizontal="left"/>
    </xf>
    <xf numFmtId="9" fontId="12" fillId="6" borderId="7" xfId="1" quotePrefix="1" applyFont="1" applyFill="1" applyBorder="1" applyAlignment="1">
      <alignment horizontal="righ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4"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4"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2"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3" applyNumberFormat="1" applyFont="1" applyFill="1" applyBorder="1" applyAlignment="1">
      <alignment horizontal="right" vertical="top" wrapText="1"/>
    </xf>
    <xf numFmtId="166" fontId="12" fillId="2" borderId="25" xfId="3" applyNumberFormat="1" applyFont="1" applyFill="1" applyBorder="1" applyAlignment="1">
      <alignment horizontal="left" vertical="top" wrapText="1"/>
    </xf>
    <xf numFmtId="166" fontId="35" fillId="2" borderId="7" xfId="3"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3" applyNumberFormat="1" applyFont="1" applyFill="1" applyBorder="1" applyAlignment="1">
      <alignment horizontal="right"/>
    </xf>
    <xf numFmtId="0" fontId="31" fillId="2" borderId="0" xfId="10"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8" applyNumberFormat="1" applyFont="1" applyBorder="1" applyAlignment="1">
      <alignment vertical="center"/>
    </xf>
    <xf numFmtId="178" fontId="51" fillId="0" borderId="37" xfId="18" applyNumberFormat="1" applyFont="1" applyBorder="1" applyAlignment="1">
      <alignment vertical="center"/>
    </xf>
    <xf numFmtId="178" fontId="52" fillId="0" borderId="37" xfId="18" applyNumberFormat="1" applyFont="1" applyBorder="1" applyAlignment="1">
      <alignment vertical="center"/>
    </xf>
    <xf numFmtId="0" fontId="51" fillId="0" borderId="0" xfId="0" applyFont="1" applyAlignment="1">
      <alignment vertical="center" wrapText="1"/>
    </xf>
    <xf numFmtId="178" fontId="51" fillId="0" borderId="37" xfId="18" applyNumberFormat="1" applyFont="1" applyBorder="1" applyAlignment="1">
      <alignment vertical="center" wrapText="1"/>
    </xf>
    <xf numFmtId="0" fontId="50" fillId="0" borderId="43" xfId="0" applyFont="1" applyBorder="1" applyAlignment="1">
      <alignment vertical="center"/>
    </xf>
    <xf numFmtId="178" fontId="50" fillId="0" borderId="44" xfId="18"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8"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3"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3"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3" applyNumberFormat="1" applyFont="1" applyFill="1" applyBorder="1" applyAlignment="1">
      <alignment horizontal="right" vertical="top" wrapText="1"/>
    </xf>
    <xf numFmtId="166" fontId="11" fillId="2" borderId="11" xfId="3" applyNumberFormat="1" applyFont="1" applyFill="1" applyBorder="1" applyAlignment="1">
      <alignment horizontal="right" vertical="top"/>
    </xf>
    <xf numFmtId="166" fontId="11" fillId="2" borderId="11" xfId="3" applyNumberFormat="1" applyFont="1" applyFill="1" applyBorder="1" applyAlignment="1">
      <alignment horizontal="left" vertical="top" wrapText="1"/>
    </xf>
    <xf numFmtId="166" fontId="11" fillId="2" borderId="11" xfId="3"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3"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5" quotePrefix="1" applyFont="1" applyFill="1" applyBorder="1" applyAlignment="1">
      <alignment horizontal="left" vertical="center"/>
    </xf>
    <xf numFmtId="0" fontId="11" fillId="4" borderId="7" xfId="5" applyFont="1" applyFill="1" applyBorder="1" applyAlignment="1">
      <alignment horizontal="left" vertical="center" wrapText="1"/>
    </xf>
    <xf numFmtId="0" fontId="11" fillId="0" borderId="7" xfId="5" applyFont="1" applyBorder="1" applyAlignment="1">
      <alignment horizontal="left" vertical="center" wrapText="1"/>
    </xf>
    <xf numFmtId="181" fontId="0" fillId="12" borderId="47" xfId="0" applyNumberFormat="1" applyFill="1" applyBorder="1" applyAlignment="1">
      <alignment horizontal="left" vertical="center" wrapText="1"/>
    </xf>
    <xf numFmtId="0" fontId="11" fillId="0" borderId="0" xfId="4" applyFont="1" applyBorder="1">
      <alignment vertical="center"/>
    </xf>
    <xf numFmtId="0" fontId="11" fillId="4" borderId="0" xfId="5" quotePrefix="1" applyFont="1" applyFill="1" applyBorder="1" applyAlignment="1">
      <alignment horizontal="center" vertical="center"/>
    </xf>
    <xf numFmtId="0" fontId="11" fillId="4" borderId="0" xfId="4" applyFont="1" applyFill="1" applyBorder="1">
      <alignment vertical="center"/>
    </xf>
    <xf numFmtId="0" fontId="11" fillId="2" borderId="0" xfId="4" applyFont="1" applyFill="1" applyBorder="1">
      <alignment vertical="center"/>
    </xf>
    <xf numFmtId="0" fontId="11" fillId="3" borderId="7" xfId="5" applyFont="1" applyFill="1" applyBorder="1" applyAlignment="1">
      <alignment horizontal="left" vertical="center" wrapText="1" indent="1"/>
    </xf>
    <xf numFmtId="3" fontId="11" fillId="2" borderId="7" xfId="9" applyFont="1" applyFill="1" applyBorder="1" applyAlignment="1">
      <alignment horizontal="center" vertical="center"/>
      <protection locked="0"/>
    </xf>
    <xf numFmtId="166" fontId="11" fillId="4" borderId="7" xfId="3" applyNumberFormat="1" applyFont="1" applyFill="1" applyBorder="1" applyAlignment="1">
      <alignment vertical="center"/>
    </xf>
    <xf numFmtId="0" fontId="12" fillId="0" borderId="11" xfId="5" applyFont="1" applyBorder="1">
      <alignment vertical="center"/>
    </xf>
    <xf numFmtId="0" fontId="12" fillId="2" borderId="0" xfId="7" applyFont="1" applyFill="1" applyBorder="1" applyAlignment="1">
      <alignment horizontal="left" vertical="center"/>
    </xf>
    <xf numFmtId="0" fontId="11" fillId="2" borderId="7" xfId="5" quotePrefix="1" applyFont="1" applyFill="1" applyBorder="1" applyAlignment="1">
      <alignment horizontal="center" vertical="center"/>
    </xf>
    <xf numFmtId="0" fontId="11" fillId="2" borderId="7" xfId="5"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5" quotePrefix="1" applyFont="1" applyFill="1" applyBorder="1" applyAlignment="1">
      <alignment horizontal="right" vertical="center"/>
    </xf>
    <xf numFmtId="0" fontId="19" fillId="2" borderId="0" xfId="5" applyFont="1" applyFill="1" applyBorder="1" applyAlignment="1">
      <alignment horizontal="left" vertical="center" wrapText="1" indent="1"/>
    </xf>
    <xf numFmtId="0" fontId="12" fillId="2" borderId="0" xfId="0" applyFont="1" applyFill="1" applyBorder="1"/>
    <xf numFmtId="0" fontId="11" fillId="2" borderId="0" xfId="5" applyFont="1" applyFill="1" applyBorder="1">
      <alignment vertical="center"/>
    </xf>
    <xf numFmtId="0" fontId="12" fillId="2" borderId="0" xfId="7" applyFont="1" applyFill="1" applyBorder="1" applyAlignment="1">
      <alignment vertical="center"/>
    </xf>
    <xf numFmtId="0" fontId="11" fillId="2" borderId="0" xfId="8" applyFont="1" applyFill="1" applyBorder="1" applyAlignment="1">
      <alignment horizontal="right" vertical="center" wrapText="1"/>
    </xf>
    <xf numFmtId="0" fontId="11" fillId="2" borderId="0" xfId="8" applyFont="1" applyFill="1" applyBorder="1" applyAlignment="1">
      <alignment horizontal="center" vertical="center" wrapText="1"/>
    </xf>
    <xf numFmtId="0" fontId="11" fillId="2" borderId="0" xfId="5" quotePrefix="1" applyFont="1" applyFill="1" applyBorder="1" applyAlignment="1">
      <alignment horizontal="center" vertical="center"/>
    </xf>
    <xf numFmtId="0" fontId="11" fillId="2" borderId="0" xfId="5" applyFont="1" applyFill="1" applyBorder="1" applyAlignment="1">
      <alignment horizontal="left" vertical="center" wrapText="1" indent="1"/>
    </xf>
    <xf numFmtId="3" fontId="11" fillId="2" borderId="0" xfId="9" applyFont="1" applyFill="1" applyBorder="1">
      <alignment horizontal="right" vertical="center"/>
      <protection locked="0"/>
    </xf>
    <xf numFmtId="0" fontId="11" fillId="2" borderId="0" xfId="5" applyFont="1" applyFill="1" applyBorder="1" applyAlignment="1">
      <alignment vertical="center" wrapText="1"/>
    </xf>
    <xf numFmtId="0" fontId="11" fillId="2" borderId="0" xfId="5" applyFont="1" applyFill="1" applyBorder="1" applyAlignment="1">
      <alignment vertical="center"/>
    </xf>
    <xf numFmtId="0" fontId="12" fillId="2" borderId="0" xfId="5" applyFont="1" applyFill="1" applyBorder="1">
      <alignment vertical="center"/>
    </xf>
    <xf numFmtId="0" fontId="11" fillId="2" borderId="7" xfId="5" applyFont="1" applyFill="1" applyBorder="1" applyAlignment="1">
      <alignment horizontal="left" vertical="center" wrapText="1" indent="1"/>
    </xf>
    <xf numFmtId="3" fontId="11" fillId="2" borderId="7" xfId="9" applyFont="1" applyFill="1" applyBorder="1">
      <alignment horizontal="right" vertical="center"/>
      <protection locked="0"/>
    </xf>
    <xf numFmtId="0" fontId="11" fillId="2" borderId="7" xfId="5" applyFont="1" applyFill="1" applyBorder="1" applyAlignment="1">
      <alignment horizontal="left" vertical="center" wrapText="1" indent="2"/>
    </xf>
    <xf numFmtId="0" fontId="11" fillId="2" borderId="7" xfId="4" applyFont="1" applyFill="1" applyBorder="1" applyAlignment="1">
      <alignment horizontal="left" vertical="center"/>
    </xf>
    <xf numFmtId="0" fontId="11" fillId="2" borderId="7" xfId="5" applyFont="1" applyFill="1" applyBorder="1" applyAlignment="1">
      <alignment horizontal="left" vertical="center"/>
    </xf>
    <xf numFmtId="0" fontId="11" fillId="2" borderId="7" xfId="5" quotePrefix="1" applyFont="1" applyFill="1" applyBorder="1" applyAlignment="1">
      <alignment horizontal="left" vertical="center"/>
    </xf>
    <xf numFmtId="3" fontId="11" fillId="2" borderId="7" xfId="9" applyFont="1" applyFill="1" applyBorder="1" applyAlignment="1">
      <alignment horizontal="left" vertical="center"/>
      <protection locked="0"/>
    </xf>
    <xf numFmtId="0" fontId="11" fillId="2" borderId="7" xfId="5" quotePrefix="1" applyFont="1" applyFill="1" applyBorder="1" applyAlignment="1">
      <alignment horizontal="right" vertical="center"/>
    </xf>
    <xf numFmtId="0" fontId="19" fillId="2" borderId="7" xfId="5" applyFont="1" applyFill="1" applyBorder="1" applyAlignment="1">
      <alignment horizontal="left" vertical="center" wrapText="1" indent="1"/>
    </xf>
    <xf numFmtId="0" fontId="11" fillId="2" borderId="7" xfId="5" applyFont="1" applyFill="1" applyBorder="1" applyAlignment="1">
      <alignment horizontal="left" vertical="center" wrapText="1"/>
    </xf>
    <xf numFmtId="0" fontId="11" fillId="2" borderId="7" xfId="5" quotePrefix="1" applyFont="1" applyFill="1" applyBorder="1" applyAlignment="1">
      <alignment vertical="center"/>
    </xf>
    <xf numFmtId="0" fontId="11" fillId="2" borderId="7" xfId="5" applyFont="1" applyFill="1" applyBorder="1" applyAlignment="1">
      <alignment vertical="center"/>
    </xf>
    <xf numFmtId="0" fontId="11" fillId="2" borderId="7" xfId="4" applyFont="1" applyFill="1" applyBorder="1" applyAlignment="1">
      <alignment vertical="center"/>
    </xf>
    <xf numFmtId="0" fontId="11" fillId="0" borderId="7" xfId="8" applyFont="1" applyFill="1" applyBorder="1" applyAlignment="1">
      <alignment vertical="center" wrapText="1"/>
    </xf>
    <xf numFmtId="1" fontId="11" fillId="2" borderId="7" xfId="0" applyNumberFormat="1" applyFont="1" applyFill="1" applyBorder="1" applyAlignment="1">
      <alignment horizontal="right" vertical="top"/>
    </xf>
    <xf numFmtId="1" fontId="11" fillId="2" borderId="7" xfId="3" applyNumberFormat="1" applyFont="1" applyFill="1" applyBorder="1" applyAlignment="1">
      <alignment horizontal="right" vertical="top" wrapText="1"/>
    </xf>
    <xf numFmtId="1" fontId="11" fillId="2" borderId="7" xfId="3" applyNumberFormat="1" applyFont="1" applyFill="1" applyBorder="1" applyAlignment="1">
      <alignment horizontal="right" vertical="top"/>
    </xf>
    <xf numFmtId="166" fontId="13" fillId="2" borderId="5" xfId="3"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6" applyFont="1" applyFill="1" applyBorder="1" applyAlignment="1">
      <alignment vertical="center" wrapText="1"/>
    </xf>
    <xf numFmtId="0" fontId="11" fillId="13" borderId="7" xfId="6" applyFont="1" applyFill="1" applyBorder="1" applyAlignment="1">
      <alignment vertical="center"/>
    </xf>
    <xf numFmtId="0" fontId="12" fillId="13" borderId="7" xfId="6"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3"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3" fillId="2" borderId="5" xfId="3" applyFont="1" applyFill="1" applyBorder="1" applyAlignment="1">
      <alignment horizontal="left" vertical="top" wrapText="1"/>
    </xf>
    <xf numFmtId="164" fontId="13" fillId="2" borderId="8" xfId="0" applyNumberFormat="1" applyFont="1" applyFill="1" applyBorder="1" applyAlignment="1">
      <alignment horizontal="left" vertical="top" wrapText="1"/>
    </xf>
    <xf numFmtId="164" fontId="11" fillId="4" borderId="0" xfId="3" applyFont="1" applyFill="1" applyAlignment="1">
      <alignment vertical="center"/>
    </xf>
    <xf numFmtId="166" fontId="0" fillId="2" borderId="0" xfId="3" applyNumberFormat="1" applyFont="1" applyFill="1"/>
    <xf numFmtId="178" fontId="51" fillId="0" borderId="37" xfId="18" applyNumberFormat="1" applyFont="1" applyFill="1" applyBorder="1" applyAlignment="1">
      <alignment vertical="center"/>
    </xf>
    <xf numFmtId="178" fontId="51" fillId="0" borderId="11" xfId="18" applyNumberFormat="1" applyFont="1" applyFill="1" applyBorder="1" applyAlignment="1">
      <alignment vertical="center"/>
    </xf>
    <xf numFmtId="178" fontId="52" fillId="0" borderId="37" xfId="18" applyNumberFormat="1" applyFont="1" applyFill="1" applyBorder="1" applyAlignment="1">
      <alignment vertical="center"/>
    </xf>
    <xf numFmtId="166" fontId="26" fillId="2" borderId="7" xfId="3"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2" applyNumberFormat="1" applyFont="1" applyFill="1" applyBorder="1" applyAlignment="1">
      <alignment horizontal="center" vertical="center" wrapText="1"/>
    </xf>
    <xf numFmtId="171" fontId="33" fillId="10" borderId="4" xfId="12" applyNumberFormat="1" applyFont="1" applyFill="1" applyBorder="1" applyAlignment="1">
      <alignment horizontal="center" vertical="center" wrapText="1"/>
    </xf>
    <xf numFmtId="171" fontId="33" fillId="10" borderId="13" xfId="12" applyNumberFormat="1" applyFont="1" applyFill="1" applyBorder="1" applyAlignment="1">
      <alignment horizontal="center" vertical="center" wrapText="1"/>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0" fontId="33" fillId="10" borderId="0" xfId="0" applyFont="1" applyFill="1" applyAlignment="1">
      <alignment horizontal="left" vertical="center" wrapText="1"/>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3"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0" fontId="11" fillId="4" borderId="11" xfId="4" applyFont="1" applyFill="1" applyBorder="1" applyAlignment="1">
      <alignment vertical="top"/>
    </xf>
    <xf numFmtId="0" fontId="11" fillId="0" borderId="0" xfId="0" applyFont="1" applyAlignment="1">
      <alignment vertical="top"/>
    </xf>
    <xf numFmtId="0" fontId="11" fillId="0" borderId="5"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20"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20" xfId="5" applyFont="1" applyBorder="1" applyAlignment="1">
      <alignment horizontal="center" vertical="center" wrapText="1"/>
    </xf>
    <xf numFmtId="0" fontId="11" fillId="4" borderId="5" xfId="4" applyFont="1" applyFill="1" applyBorder="1" applyAlignment="1">
      <alignment horizontal="left" vertical="top" wrapText="1"/>
    </xf>
    <xf numFmtId="0" fontId="11" fillId="4" borderId="4" xfId="4" applyFont="1" applyFill="1" applyBorder="1" applyAlignment="1">
      <alignment horizontal="left" vertical="top" wrapText="1"/>
    </xf>
    <xf numFmtId="0" fontId="11" fillId="4" borderId="13" xfId="4" applyFont="1" applyFill="1" applyBorder="1" applyAlignment="1">
      <alignment horizontal="left" vertical="top" wrapText="1"/>
    </xf>
    <xf numFmtId="0" fontId="11" fillId="4" borderId="11" xfId="4" applyFont="1" applyFill="1" applyBorder="1" applyAlignment="1">
      <alignment horizontal="left" vertical="top" wrapText="1"/>
    </xf>
    <xf numFmtId="0" fontId="11" fillId="4" borderId="0" xfId="4" applyFont="1" applyFill="1" applyAlignment="1">
      <alignment horizontal="left" vertical="top" wrapText="1"/>
    </xf>
    <xf numFmtId="0" fontId="11" fillId="4" borderId="20" xfId="4"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11" fillId="2" borderId="0" xfId="5"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5" applyFont="1" applyAlignment="1">
      <alignment horizontal="center" vertical="center" wrapText="1"/>
    </xf>
    <xf numFmtId="0" fontId="25" fillId="4" borderId="0" xfId="4" applyFont="1" applyFill="1" applyAlignment="1">
      <alignment vertical="top"/>
    </xf>
    <xf numFmtId="0" fontId="13" fillId="0" borderId="0" xfId="0" applyFont="1" applyAlignment="1">
      <alignment vertical="top"/>
    </xf>
    <xf numFmtId="0" fontId="11" fillId="4" borderId="11" xfId="4"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8" xfId="4"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4"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4"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8"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xf numFmtId="0" fontId="52" fillId="0" borderId="0" xfId="0" applyFont="1" applyAlignment="1">
      <alignment horizontal="left" vertical="center" wrapText="1"/>
    </xf>
    <xf numFmtId="171" fontId="33" fillId="9" borderId="0" xfId="12"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cellXfs>
  <cellStyles count="19">
    <cellStyle name="=C:\WINNT35\SYSTEM32\COMMAND.COM" xfId="5" xr:uid="{00000000-0005-0000-0000-000000000000}"/>
    <cellStyle name="Comma" xfId="3" xr:uid="{00000000-0005-0000-0000-000001000000}"/>
    <cellStyle name="Comma 10" xfId="13" xr:uid="{00000000-0005-0000-0000-000002000000}"/>
    <cellStyle name="Comma 2" xfId="18" xr:uid="{C2EAB1D6-727A-435A-9543-25F4728DA6C3}"/>
    <cellStyle name="Heading 1 2 3 5" xfId="6" xr:uid="{00000000-0005-0000-0000-000003000000}"/>
    <cellStyle name="Heading 2 2 3 5" xfId="7" xr:uid="{00000000-0005-0000-0000-000004000000}"/>
    <cellStyle name="HeadingTable" xfId="8" xr:uid="{00000000-0005-0000-0000-000005000000}"/>
    <cellStyle name="Hyperlink" xfId="2" builtinId="8"/>
    <cellStyle name="Komma 2" xfId="14" xr:uid="{00000000-0005-0000-0000-000007000000}"/>
    <cellStyle name="Komma 3" xfId="16" xr:uid="{00000000-0005-0000-0000-000008000000}"/>
    <cellStyle name="Normal" xfId="0" builtinId="0"/>
    <cellStyle name="Normal 12 3" xfId="10" xr:uid="{00000000-0005-0000-0000-00000A000000}"/>
    <cellStyle name="Normal 15" xfId="17" xr:uid="{00000000-0005-0000-0000-00000B000000}"/>
    <cellStyle name="Normal 2" xfId="11" xr:uid="{00000000-0005-0000-0000-00000C000000}"/>
    <cellStyle name="Normal 2 50 2" xfId="4" xr:uid="{00000000-0005-0000-0000-00000D000000}"/>
    <cellStyle name="Normal 30" xfId="12" xr:uid="{00000000-0005-0000-0000-00000E000000}"/>
    <cellStyle name="optionalExposure" xfId="9" xr:uid="{00000000-0005-0000-0000-00000F000000}"/>
    <cellStyle name="Percent" xfId="1" xr:uid="{00000000-0005-0000-0000-000010000000}"/>
    <cellStyle name="Prosent 11" xfId="15"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31.12.2020</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31.12.2020</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1.0 per cent at year-end. The requirement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ials/Accounting/Regnskap/Perioderegnskap/Spread%20and%20interest%20rate%20risk/2020-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my.sharepoint.com/personal/henning_fagerbakke_komplettbank_no/Documents/Financial%20accou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ials/Accounting/Regnskap/&#197;rsregnskap/2020/&#197;rsregnskap%20NO/Komplett%20Bank%20ASA%20Noter%2020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sheetData sheetId="1">
        <row r="6">
          <cell r="I6">
            <v>842489963.82000005</v>
          </cell>
        </row>
        <row r="7">
          <cell r="I7">
            <v>650800919.61000001</v>
          </cell>
          <cell r="J7">
            <v>653356089.95000005</v>
          </cell>
          <cell r="Q7">
            <v>17984093.917351931</v>
          </cell>
        </row>
        <row r="8">
          <cell r="I8">
            <v>50969553.32</v>
          </cell>
        </row>
        <row r="10">
          <cell r="I10">
            <v>76529180.950000003</v>
          </cell>
        </row>
        <row r="11">
          <cell r="I11">
            <v>115442686.91</v>
          </cell>
          <cell r="J11">
            <v>111703809.41469999</v>
          </cell>
          <cell r="Q11">
            <v>2877490.1305226721</v>
          </cell>
        </row>
        <row r="13">
          <cell r="I13">
            <v>30633595.510000002</v>
          </cell>
        </row>
        <row r="14">
          <cell r="I14">
            <v>72884219.340000004</v>
          </cell>
          <cell r="J14">
            <v>61640036.681007005</v>
          </cell>
          <cell r="Q14">
            <v>1587847.3449027406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Data pivot"/>
      <sheetName val="Budget"/>
      <sheetName val="Data"/>
      <sheetName val="Inc_bal M"/>
      <sheetName val="Inc_bal Q"/>
      <sheetName val="Inc_bal Y"/>
      <sheetName val="Inc_bal M (NO Loan)"/>
      <sheetName val="Inc_bal M (NO Card)"/>
      <sheetName val="Inc_bal M (NO POS)"/>
      <sheetName val="Inc_bal M (SE POS)"/>
      <sheetName val="Inc_bal M (FI Card)"/>
      <sheetName val="Inc_bal M (FI Loan)"/>
      <sheetName val="Inc_bal M (SE Loan)"/>
      <sheetName val="Inc_bal M (SE Card)"/>
      <sheetName val="Inc_bal M (POS)"/>
      <sheetName val="1. IS_BS_KPI"/>
      <sheetName val="1.1 IS_BS_KPI (prod)"/>
      <sheetName val="1.2 IS_BS_KPI (prod)"/>
      <sheetName val="2.2 Graphs"/>
      <sheetName val="2. Development"/>
      <sheetName val="3. Yield"/>
      <sheetName val="4. ROA"/>
      <sheetName val="5.1 OPEX"/>
      <sheetName val="ORBOF "/>
      <sheetName val="5.2 Customers"/>
      <sheetName val="5.3 Liq reporting"/>
      <sheetName val="Data kunder"/>
      <sheetName val="6. Budgets"/>
      <sheetName val="7. Finance"/>
      <sheetName val="8. Capital"/>
      <sheetName val="9. Defaulted loans"/>
      <sheetName val="9.1 Dclass"/>
      <sheetName val="9.2 Utestående_fila"/>
      <sheetName val="10. Shareholders"/>
      <sheetName val="11. Forward Flow"/>
      <sheetName val="12. Currency"/>
      <sheetName val="13. ROE"/>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202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4">
          <cell r="BR34">
            <v>4667.1504997300008</v>
          </cell>
        </row>
        <row r="35">
          <cell r="BR35">
            <v>2903.5040658000003</v>
          </cell>
        </row>
        <row r="36">
          <cell r="BR36">
            <v>1936.2751244600001</v>
          </cell>
        </row>
        <row r="65">
          <cell r="AW65">
            <v>-332.99970677532201</v>
          </cell>
        </row>
        <row r="66">
          <cell r="AW66">
            <v>-409.46219277717051</v>
          </cell>
        </row>
        <row r="67">
          <cell r="AW67">
            <v>-248.57134153601621</v>
          </cell>
        </row>
        <row r="68">
          <cell r="AW68">
            <v>-96.719972371880772</v>
          </cell>
        </row>
        <row r="69">
          <cell r="AW69">
            <v>-6.9208431383566671</v>
          </cell>
        </row>
        <row r="70">
          <cell r="AW70">
            <v>-0.73152941393613458</v>
          </cell>
        </row>
        <row r="71">
          <cell r="AW71">
            <v>-31.008729579612933</v>
          </cell>
        </row>
        <row r="72">
          <cell r="AW72">
            <v>-19.369802777704933</v>
          </cell>
        </row>
      </sheetData>
      <sheetData sheetId="21"/>
      <sheetData sheetId="22"/>
      <sheetData sheetId="23"/>
      <sheetData sheetId="24"/>
      <sheetData sheetId="25"/>
      <sheetData sheetId="26"/>
      <sheetData sheetId="27"/>
      <sheetData sheetId="28"/>
      <sheetData sheetId="29"/>
      <sheetData sheetId="30">
        <row r="77">
          <cell r="BJ77">
            <v>3802553.29281554</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2"/>
      <sheetName val="Note 3"/>
      <sheetName val="Note 4"/>
      <sheetName val="Note 5"/>
      <sheetName val="Note 6"/>
      <sheetName val="Note 7"/>
      <sheetName val="Note 8"/>
      <sheetName val="Note 9 fra Q4"/>
      <sheetName val="Note 10"/>
      <sheetName val="Note 11"/>
      <sheetName val="Note 12"/>
      <sheetName val="Note 13"/>
      <sheetName val="Note 14"/>
      <sheetName val="Note 15"/>
      <sheetName val="Note 16"/>
      <sheetName val="Note 19"/>
      <sheetName val="note 20"/>
      <sheetName val="Note 21"/>
      <sheetName val="Note 22"/>
      <sheetName val="Note 23 SML tall"/>
      <sheetName val="Note 24 Tvist"/>
      <sheetName val="Note 25 corona"/>
      <sheetName val="Etter her = ikke bruk"/>
      <sheetName val="Noter IFRS 18 Q4"/>
      <sheetName val="Note 9"/>
    </sheetNames>
    <sheetDataSet>
      <sheetData sheetId="0">
        <row r="47">
          <cell r="B47">
            <v>5989.8311678350046</v>
          </cell>
        </row>
        <row r="48">
          <cell r="B48">
            <v>1152.9668019393273</v>
          </cell>
        </row>
        <row r="49">
          <cell r="B49">
            <v>228.01644534849305</v>
          </cell>
        </row>
        <row r="50">
          <cell r="B50">
            <v>96.88563079366682</v>
          </cell>
        </row>
        <row r="51">
          <cell r="B51">
            <v>2039.2480540735046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zoomScale="115" zoomScaleNormal="115" workbookViewId="0">
      <selection activeCell="F9" sqref="F9"/>
    </sheetView>
  </sheetViews>
  <sheetFormatPr defaultColWidth="9.140625" defaultRowHeight="15" x14ac:dyDescent="0.25"/>
  <cols>
    <col min="1" max="1" width="2.7109375" style="3" customWidth="1"/>
    <col min="2" max="2" width="8.140625" style="280" bestFit="1" customWidth="1"/>
    <col min="3" max="3" width="131.85546875" style="3" customWidth="1"/>
    <col min="4" max="4" width="19" style="3" bestFit="1" customWidth="1"/>
    <col min="5" max="5" width="17.42578125" style="3" bestFit="1" customWidth="1"/>
    <col min="6" max="6" width="19.5703125" style="3" customWidth="1"/>
    <col min="7" max="16384" width="9.140625" style="3"/>
  </cols>
  <sheetData>
    <row r="1" spans="1:6" x14ac:dyDescent="0.25">
      <c r="B1" s="3"/>
      <c r="D1" s="1"/>
      <c r="E1" s="2"/>
    </row>
    <row r="2" spans="1:6" ht="26.25" x14ac:dyDescent="0.4">
      <c r="B2" s="3"/>
      <c r="C2" s="404" t="s">
        <v>514</v>
      </c>
      <c r="D2" s="248"/>
      <c r="E2" s="249"/>
    </row>
    <row r="3" spans="1:6" x14ac:dyDescent="0.25">
      <c r="A3" s="251"/>
      <c r="B3" s="251"/>
      <c r="C3" s="254"/>
      <c r="D3" s="251"/>
    </row>
    <row r="4" spans="1:6" x14ac:dyDescent="0.25">
      <c r="A4" s="251"/>
      <c r="B4" s="251"/>
      <c r="C4" s="251"/>
      <c r="D4" s="252"/>
      <c r="E4" s="253"/>
    </row>
    <row r="5" spans="1:6" ht="30" customHeight="1" x14ac:dyDescent="0.25">
      <c r="B5" s="279" t="s">
        <v>571</v>
      </c>
      <c r="C5" s="279" t="s">
        <v>572</v>
      </c>
      <c r="D5" s="282" t="s">
        <v>577</v>
      </c>
      <c r="E5" s="250" t="s">
        <v>573</v>
      </c>
      <c r="F5" s="281" t="s">
        <v>574</v>
      </c>
    </row>
    <row r="6" spans="1:6" x14ac:dyDescent="0.25">
      <c r="B6" s="280">
        <v>1</v>
      </c>
      <c r="C6" s="416" t="s">
        <v>512</v>
      </c>
      <c r="D6" s="4" t="s">
        <v>575</v>
      </c>
      <c r="E6" s="5" t="s">
        <v>0</v>
      </c>
      <c r="F6" s="418">
        <v>44286</v>
      </c>
    </row>
    <row r="7" spans="1:6" x14ac:dyDescent="0.25">
      <c r="B7" s="280">
        <f t="shared" ref="B7:B12" si="0">B6+1</f>
        <v>2</v>
      </c>
      <c r="C7" s="417" t="s">
        <v>522</v>
      </c>
      <c r="D7" s="4" t="s">
        <v>575</v>
      </c>
      <c r="E7" s="6" t="s">
        <v>0</v>
      </c>
      <c r="F7" s="418">
        <v>44286</v>
      </c>
    </row>
    <row r="8" spans="1:6" x14ac:dyDescent="0.25">
      <c r="B8" s="280">
        <f t="shared" si="0"/>
        <v>3</v>
      </c>
      <c r="C8" s="417" t="s">
        <v>523</v>
      </c>
      <c r="D8" s="4" t="s">
        <v>575</v>
      </c>
      <c r="E8" s="6" t="s">
        <v>0</v>
      </c>
      <c r="F8" s="418">
        <v>44286</v>
      </c>
    </row>
    <row r="9" spans="1:6" x14ac:dyDescent="0.25">
      <c r="B9" s="280">
        <f t="shared" si="0"/>
        <v>4</v>
      </c>
      <c r="C9" s="417" t="s">
        <v>535</v>
      </c>
      <c r="D9" s="4" t="s">
        <v>576</v>
      </c>
      <c r="E9" s="6" t="s">
        <v>0</v>
      </c>
      <c r="F9" s="418">
        <v>44286</v>
      </c>
    </row>
    <row r="10" spans="1:6" x14ac:dyDescent="0.25">
      <c r="B10" s="280">
        <f t="shared" si="0"/>
        <v>5</v>
      </c>
      <c r="C10" s="417" t="s">
        <v>473</v>
      </c>
      <c r="D10" s="4" t="s">
        <v>578</v>
      </c>
      <c r="E10" s="6" t="s">
        <v>1</v>
      </c>
      <c r="F10" s="418">
        <v>44196</v>
      </c>
    </row>
    <row r="11" spans="1:6" x14ac:dyDescent="0.25">
      <c r="B11" s="280">
        <f t="shared" si="0"/>
        <v>6</v>
      </c>
      <c r="C11" s="417" t="s">
        <v>498</v>
      </c>
      <c r="D11" s="4" t="s">
        <v>578</v>
      </c>
      <c r="E11" s="6" t="s">
        <v>1</v>
      </c>
      <c r="F11" s="418">
        <v>44196</v>
      </c>
    </row>
    <row r="12" spans="1:6" x14ac:dyDescent="0.25">
      <c r="B12" s="280">
        <f t="shared" si="0"/>
        <v>7</v>
      </c>
      <c r="C12" s="417" t="s">
        <v>3</v>
      </c>
      <c r="D12" s="4" t="s">
        <v>524</v>
      </c>
      <c r="E12" s="6" t="s">
        <v>1</v>
      </c>
      <c r="F12" s="418">
        <v>44196</v>
      </c>
    </row>
    <row r="13" spans="1:6" x14ac:dyDescent="0.25">
      <c r="B13" s="280">
        <f>B12+1</f>
        <v>8</v>
      </c>
      <c r="C13" s="417" t="s">
        <v>5</v>
      </c>
      <c r="D13" s="4" t="s">
        <v>4</v>
      </c>
      <c r="E13" s="6" t="s">
        <v>1</v>
      </c>
      <c r="F13" s="418">
        <v>44196</v>
      </c>
    </row>
    <row r="14" spans="1:6" x14ac:dyDescent="0.25">
      <c r="B14" s="280">
        <f t="shared" ref="B14:B23" si="1">B13+1</f>
        <v>9</v>
      </c>
      <c r="C14" s="417" t="s">
        <v>7</v>
      </c>
      <c r="D14" s="4" t="s">
        <v>6</v>
      </c>
      <c r="E14" s="6" t="s">
        <v>1</v>
      </c>
      <c r="F14" s="418">
        <v>44196</v>
      </c>
    </row>
    <row r="15" spans="1:6" x14ac:dyDescent="0.25">
      <c r="B15" s="280">
        <f t="shared" si="1"/>
        <v>10</v>
      </c>
      <c r="C15" s="417" t="s">
        <v>9</v>
      </c>
      <c r="D15" s="4" t="s">
        <v>8</v>
      </c>
      <c r="E15" s="6" t="s">
        <v>1</v>
      </c>
      <c r="F15" s="418">
        <v>44196</v>
      </c>
    </row>
    <row r="16" spans="1:6" x14ac:dyDescent="0.25">
      <c r="B16" s="280">
        <f t="shared" si="1"/>
        <v>11</v>
      </c>
      <c r="C16" s="417" t="s">
        <v>11</v>
      </c>
      <c r="D16" s="4" t="s">
        <v>10</v>
      </c>
      <c r="E16" s="6" t="s">
        <v>1</v>
      </c>
      <c r="F16" s="418">
        <v>44196</v>
      </c>
    </row>
    <row r="17" spans="2:6" x14ac:dyDescent="0.25">
      <c r="B17" s="280">
        <f t="shared" si="1"/>
        <v>12</v>
      </c>
      <c r="C17" s="417" t="s">
        <v>13</v>
      </c>
      <c r="D17" s="4" t="s">
        <v>12</v>
      </c>
      <c r="E17" s="6" t="s">
        <v>1</v>
      </c>
      <c r="F17" s="418">
        <v>44196</v>
      </c>
    </row>
    <row r="18" spans="2:6" x14ac:dyDescent="0.25">
      <c r="B18" s="280">
        <f t="shared" si="1"/>
        <v>13</v>
      </c>
      <c r="C18" s="417" t="s">
        <v>15</v>
      </c>
      <c r="D18" s="4" t="s">
        <v>14</v>
      </c>
      <c r="E18" s="6" t="s">
        <v>1</v>
      </c>
      <c r="F18" s="418">
        <v>44196</v>
      </c>
    </row>
    <row r="19" spans="2:6" x14ac:dyDescent="0.25">
      <c r="B19" s="280">
        <f t="shared" si="1"/>
        <v>14</v>
      </c>
      <c r="C19" s="417" t="s">
        <v>17</v>
      </c>
      <c r="D19" s="4" t="s">
        <v>16</v>
      </c>
      <c r="E19" s="6" t="s">
        <v>1</v>
      </c>
      <c r="F19" s="418">
        <v>44196</v>
      </c>
    </row>
    <row r="20" spans="2:6" x14ac:dyDescent="0.25">
      <c r="B20" s="280">
        <f t="shared" si="1"/>
        <v>15</v>
      </c>
      <c r="C20" s="417" t="s">
        <v>19</v>
      </c>
      <c r="D20" s="4" t="s">
        <v>18</v>
      </c>
      <c r="E20" s="6" t="s">
        <v>1</v>
      </c>
      <c r="F20" s="418">
        <v>44196</v>
      </c>
    </row>
    <row r="21" spans="2:6" x14ac:dyDescent="0.25">
      <c r="B21" s="280">
        <f t="shared" si="1"/>
        <v>16</v>
      </c>
      <c r="C21" s="417" t="s">
        <v>21</v>
      </c>
      <c r="D21" s="4" t="s">
        <v>20</v>
      </c>
      <c r="E21" s="6" t="s">
        <v>1</v>
      </c>
      <c r="F21" s="418">
        <v>44196</v>
      </c>
    </row>
    <row r="22" spans="2:6" x14ac:dyDescent="0.25">
      <c r="B22" s="280">
        <f t="shared" si="1"/>
        <v>17</v>
      </c>
      <c r="C22" s="417" t="s">
        <v>568</v>
      </c>
      <c r="D22" s="4" t="s">
        <v>566</v>
      </c>
      <c r="E22" s="6" t="s">
        <v>1</v>
      </c>
      <c r="F22" s="418">
        <v>44196</v>
      </c>
    </row>
    <row r="23" spans="2:6" x14ac:dyDescent="0.25">
      <c r="B23" s="280">
        <f t="shared" si="1"/>
        <v>18</v>
      </c>
      <c r="C23" s="417" t="s">
        <v>569</v>
      </c>
      <c r="D23" s="4" t="s">
        <v>567</v>
      </c>
      <c r="E23" s="6" t="s">
        <v>1</v>
      </c>
      <c r="F23" s="418">
        <v>44196</v>
      </c>
    </row>
    <row r="24" spans="2:6" x14ac:dyDescent="0.25">
      <c r="C24" s="416"/>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election activeCell="D36" sqref="D36"/>
    </sheetView>
  </sheetViews>
  <sheetFormatPr defaultColWidth="11.42578125" defaultRowHeight="11.25" x14ac:dyDescent="0.2"/>
  <cols>
    <col min="1" max="1" width="2.7109375" style="23" customWidth="1"/>
    <col min="2" max="2" width="10" style="36" customWidth="1"/>
    <col min="3" max="3" width="75.28515625" style="12" customWidth="1"/>
    <col min="4" max="5" width="13.7109375" style="12" customWidth="1"/>
    <col min="6" max="16384" width="11.42578125" style="12"/>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ht="12.75" customHeight="1" x14ac:dyDescent="0.2">
      <c r="A3" s="11"/>
      <c r="B3" s="452"/>
      <c r="C3" s="452"/>
      <c r="D3" s="452"/>
      <c r="E3" s="452"/>
      <c r="F3" s="452"/>
      <c r="G3" s="452"/>
      <c r="H3" s="452"/>
    </row>
    <row r="4" spans="1:11" s="10" customFormat="1" ht="5.0999999999999996" customHeight="1" x14ac:dyDescent="0.2">
      <c r="A4" s="7"/>
      <c r="B4" s="7"/>
      <c r="C4" s="7"/>
      <c r="D4" s="8"/>
      <c r="E4" s="343"/>
      <c r="F4" s="344"/>
      <c r="G4" s="9"/>
      <c r="H4" s="9"/>
      <c r="J4" s="7"/>
      <c r="K4" s="7"/>
    </row>
    <row r="5" spans="1:11" s="3" customFormat="1" ht="18" x14ac:dyDescent="0.25">
      <c r="A5" s="13"/>
      <c r="B5" s="136" t="s">
        <v>40</v>
      </c>
      <c r="E5" s="251"/>
      <c r="F5" s="251"/>
    </row>
    <row r="6" spans="1:11" x14ac:dyDescent="0.2">
      <c r="B6" s="35"/>
      <c r="C6" s="36"/>
      <c r="D6" s="36"/>
      <c r="E6" s="345"/>
      <c r="F6" s="345"/>
      <c r="G6" s="36"/>
      <c r="H6" s="36"/>
    </row>
    <row r="7" spans="1:11" x14ac:dyDescent="0.2">
      <c r="A7" s="14"/>
      <c r="B7" s="455" t="s">
        <v>22</v>
      </c>
      <c r="C7" s="456"/>
      <c r="D7" s="109" t="s">
        <v>23</v>
      </c>
      <c r="E7" s="347"/>
      <c r="F7" s="346"/>
      <c r="G7" s="38"/>
    </row>
    <row r="8" spans="1:11" x14ac:dyDescent="0.2">
      <c r="A8" s="14"/>
      <c r="B8" s="457"/>
      <c r="C8" s="458"/>
      <c r="D8" s="354">
        <v>44196</v>
      </c>
      <c r="E8" s="348"/>
      <c r="F8" s="346"/>
      <c r="G8" s="35"/>
    </row>
    <row r="9" spans="1:11" x14ac:dyDescent="0.2">
      <c r="A9" s="12"/>
      <c r="B9" s="39" t="s">
        <v>41</v>
      </c>
      <c r="C9" s="35"/>
      <c r="D9" s="341"/>
      <c r="E9" s="349"/>
      <c r="F9" s="346"/>
    </row>
    <row r="10" spans="1:11" ht="22.5" x14ac:dyDescent="0.2">
      <c r="A10" s="12"/>
      <c r="B10" s="40">
        <v>1</v>
      </c>
      <c r="C10" s="41" t="s">
        <v>42</v>
      </c>
      <c r="D10" s="400">
        <f>'8'!D8</f>
        <v>11586.25858138</v>
      </c>
      <c r="E10" s="350"/>
      <c r="F10" s="346"/>
    </row>
    <row r="11" spans="1:11" x14ac:dyDescent="0.2">
      <c r="A11" s="12"/>
      <c r="B11" s="42">
        <v>2</v>
      </c>
      <c r="C11" s="41" t="s">
        <v>43</v>
      </c>
      <c r="D11" s="401"/>
      <c r="E11" s="350"/>
      <c r="F11" s="346"/>
    </row>
    <row r="12" spans="1:11" x14ac:dyDescent="0.2">
      <c r="A12" s="12"/>
      <c r="B12" s="42">
        <v>3</v>
      </c>
      <c r="C12" s="41" t="s">
        <v>44</v>
      </c>
      <c r="D12" s="401">
        <f>D10</f>
        <v>11586.25858138</v>
      </c>
      <c r="E12" s="350"/>
      <c r="F12" s="346"/>
    </row>
    <row r="13" spans="1:11" x14ac:dyDescent="0.2">
      <c r="A13" s="12"/>
      <c r="B13" s="39" t="s">
        <v>45</v>
      </c>
      <c r="C13" s="43"/>
      <c r="D13" s="402"/>
      <c r="E13" s="351"/>
      <c r="F13" s="346"/>
    </row>
    <row r="14" spans="1:11" ht="22.5" x14ac:dyDescent="0.2">
      <c r="A14" s="12"/>
      <c r="B14" s="40">
        <v>4</v>
      </c>
      <c r="C14" s="41" t="s">
        <v>46</v>
      </c>
      <c r="D14" s="401"/>
      <c r="E14" s="350"/>
      <c r="F14" s="346"/>
    </row>
    <row r="15" spans="1:11" x14ac:dyDescent="0.2">
      <c r="A15" s="12"/>
      <c r="B15" s="40">
        <v>5</v>
      </c>
      <c r="C15" s="41" t="s">
        <v>47</v>
      </c>
      <c r="D15" s="401"/>
      <c r="E15" s="350"/>
      <c r="F15" s="346"/>
    </row>
    <row r="16" spans="1:11" ht="22.5" x14ac:dyDescent="0.2">
      <c r="A16" s="12"/>
      <c r="B16" s="40">
        <v>6</v>
      </c>
      <c r="C16" s="41" t="s">
        <v>48</v>
      </c>
      <c r="D16" s="401"/>
      <c r="E16" s="350"/>
      <c r="F16" s="346"/>
    </row>
    <row r="17" spans="1:6" x14ac:dyDescent="0.2">
      <c r="A17" s="12"/>
      <c r="B17" s="42">
        <v>7</v>
      </c>
      <c r="C17" s="41" t="s">
        <v>49</v>
      </c>
      <c r="D17" s="401"/>
      <c r="E17" s="350"/>
      <c r="F17" s="346"/>
    </row>
    <row r="18" spans="1:6" x14ac:dyDescent="0.2">
      <c r="A18" s="12"/>
      <c r="B18" s="42">
        <v>8</v>
      </c>
      <c r="C18" s="41" t="s">
        <v>50</v>
      </c>
      <c r="D18" s="401"/>
      <c r="E18" s="350"/>
      <c r="F18" s="346"/>
    </row>
    <row r="19" spans="1:6" x14ac:dyDescent="0.2">
      <c r="A19" s="12"/>
      <c r="B19" s="42">
        <v>9</v>
      </c>
      <c r="C19" s="41" t="s">
        <v>51</v>
      </c>
      <c r="D19" s="401"/>
      <c r="E19" s="350"/>
      <c r="F19" s="346"/>
    </row>
    <row r="20" spans="1:6" x14ac:dyDescent="0.2">
      <c r="A20" s="12"/>
      <c r="B20" s="42">
        <v>10</v>
      </c>
      <c r="C20" s="41" t="s">
        <v>52</v>
      </c>
      <c r="D20" s="401"/>
      <c r="E20" s="350"/>
      <c r="F20" s="346"/>
    </row>
    <row r="21" spans="1:6" x14ac:dyDescent="0.2">
      <c r="A21" s="12"/>
      <c r="B21" s="42">
        <v>11</v>
      </c>
      <c r="C21" s="41" t="s">
        <v>53</v>
      </c>
      <c r="D21" s="401"/>
      <c r="E21" s="350"/>
      <c r="F21" s="346"/>
    </row>
    <row r="22" spans="1:6" x14ac:dyDescent="0.2">
      <c r="A22" s="12"/>
      <c r="B22" s="39" t="s">
        <v>54</v>
      </c>
      <c r="C22" s="43"/>
      <c r="D22" s="402"/>
      <c r="E22" s="351"/>
      <c r="F22" s="346"/>
    </row>
    <row r="23" spans="1:6" x14ac:dyDescent="0.2">
      <c r="A23" s="12"/>
      <c r="B23" s="42">
        <v>12</v>
      </c>
      <c r="C23" s="41" t="s">
        <v>55</v>
      </c>
      <c r="D23" s="401"/>
      <c r="E23" s="350"/>
      <c r="F23" s="346"/>
    </row>
    <row r="24" spans="1:6" x14ac:dyDescent="0.2">
      <c r="A24" s="12"/>
      <c r="B24" s="42">
        <v>13</v>
      </c>
      <c r="C24" s="41" t="s">
        <v>56</v>
      </c>
      <c r="D24" s="401"/>
      <c r="E24" s="350"/>
      <c r="F24" s="346"/>
    </row>
    <row r="25" spans="1:6" x14ac:dyDescent="0.2">
      <c r="A25" s="12"/>
      <c r="B25" s="42">
        <v>14</v>
      </c>
      <c r="C25" s="41" t="s">
        <v>57</v>
      </c>
      <c r="D25" s="401"/>
      <c r="E25" s="350"/>
      <c r="F25" s="346"/>
    </row>
    <row r="26" spans="1:6" x14ac:dyDescent="0.2">
      <c r="A26" s="12"/>
      <c r="B26" s="42">
        <v>15</v>
      </c>
      <c r="C26" s="41" t="s">
        <v>58</v>
      </c>
      <c r="D26" s="401"/>
      <c r="E26" s="350"/>
      <c r="F26" s="346"/>
    </row>
    <row r="27" spans="1:6" x14ac:dyDescent="0.2">
      <c r="A27" s="12"/>
      <c r="B27" s="42">
        <v>16</v>
      </c>
      <c r="C27" s="41" t="s">
        <v>59</v>
      </c>
      <c r="D27" s="401"/>
      <c r="E27" s="350"/>
      <c r="F27" s="346"/>
    </row>
    <row r="28" spans="1:6" x14ac:dyDescent="0.2">
      <c r="A28" s="12"/>
      <c r="B28" s="39" t="s">
        <v>60</v>
      </c>
      <c r="C28" s="43"/>
      <c r="D28" s="402"/>
      <c r="E28" s="351"/>
      <c r="F28" s="346"/>
    </row>
    <row r="29" spans="1:6" x14ac:dyDescent="0.2">
      <c r="A29" s="12"/>
      <c r="B29" s="42">
        <v>17</v>
      </c>
      <c r="C29" s="41" t="s">
        <v>61</v>
      </c>
      <c r="D29" s="400">
        <f>'8'!D13</f>
        <v>380.255329281554</v>
      </c>
      <c r="E29" s="350"/>
      <c r="F29" s="346"/>
    </row>
    <row r="30" spans="1:6" x14ac:dyDescent="0.2">
      <c r="A30" s="12"/>
      <c r="B30" s="42">
        <v>18</v>
      </c>
      <c r="C30" s="41" t="s">
        <v>62</v>
      </c>
      <c r="D30" s="401"/>
      <c r="E30" s="350"/>
      <c r="F30" s="346"/>
    </row>
    <row r="31" spans="1:6" x14ac:dyDescent="0.2">
      <c r="A31" s="12"/>
      <c r="B31" s="42">
        <v>19</v>
      </c>
      <c r="C31" s="41" t="s">
        <v>63</v>
      </c>
      <c r="D31" s="401">
        <f>D29</f>
        <v>380.255329281554</v>
      </c>
      <c r="E31" s="350"/>
      <c r="F31" s="346"/>
    </row>
    <row r="32" spans="1:6" x14ac:dyDescent="0.2">
      <c r="A32" s="12"/>
      <c r="B32" s="39" t="s">
        <v>64</v>
      </c>
      <c r="C32" s="43"/>
      <c r="D32" s="402"/>
      <c r="E32" s="351"/>
      <c r="F32" s="346"/>
    </row>
    <row r="33" spans="1:7" x14ac:dyDescent="0.2">
      <c r="A33" s="12"/>
      <c r="B33" s="42">
        <v>20</v>
      </c>
      <c r="C33" s="41" t="s">
        <v>65</v>
      </c>
      <c r="D33" s="400">
        <f>'1'!F28</f>
        <v>-1.84802476605</v>
      </c>
      <c r="E33" s="350"/>
      <c r="F33" s="346"/>
    </row>
    <row r="34" spans="1:7" x14ac:dyDescent="0.2">
      <c r="A34" s="12"/>
      <c r="B34" s="42">
        <v>21</v>
      </c>
      <c r="C34" s="41" t="s">
        <v>66</v>
      </c>
      <c r="D34" s="400">
        <f>D12+D31</f>
        <v>11966.513910661553</v>
      </c>
      <c r="E34" s="352"/>
      <c r="F34" s="346"/>
    </row>
    <row r="35" spans="1:7" x14ac:dyDescent="0.2">
      <c r="A35" s="12"/>
      <c r="B35" s="39" t="s">
        <v>67</v>
      </c>
      <c r="C35" s="43"/>
      <c r="D35" s="44"/>
      <c r="E35" s="353"/>
      <c r="F35" s="346"/>
    </row>
    <row r="36" spans="1:7" x14ac:dyDescent="0.2">
      <c r="A36" s="12"/>
      <c r="B36" s="42">
        <v>22</v>
      </c>
      <c r="C36" s="41" t="s">
        <v>68</v>
      </c>
      <c r="D36" s="342">
        <f>D33/D34</f>
        <v>-1.5443301030248284E-4</v>
      </c>
      <c r="E36" s="353"/>
      <c r="F36" s="346"/>
    </row>
    <row r="37" spans="1:7" x14ac:dyDescent="0.2">
      <c r="A37" s="12"/>
      <c r="B37" s="36" t="s">
        <v>69</v>
      </c>
      <c r="E37" s="346"/>
      <c r="F37" s="346"/>
      <c r="G37" s="45"/>
    </row>
    <row r="38" spans="1:7" x14ac:dyDescent="0.2">
      <c r="A38" s="12"/>
      <c r="E38" s="346"/>
      <c r="F38" s="346"/>
    </row>
    <row r="39" spans="1:7" ht="21" customHeight="1" x14ac:dyDescent="0.2">
      <c r="A39" s="12"/>
      <c r="E39" s="346"/>
      <c r="F39" s="346"/>
    </row>
    <row r="40" spans="1:7" ht="21" customHeight="1" x14ac:dyDescent="0.2">
      <c r="A40" s="12"/>
      <c r="E40" s="346"/>
      <c r="F40" s="346"/>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130" zoomScaleNormal="130" workbookViewId="0">
      <selection activeCell="D50" sqref="D50"/>
    </sheetView>
  </sheetViews>
  <sheetFormatPr defaultColWidth="11.42578125" defaultRowHeight="11.25" x14ac:dyDescent="0.2"/>
  <cols>
    <col min="1" max="1" width="2.7109375" style="23" customWidth="1"/>
    <col min="2" max="2" width="4.140625" style="16" customWidth="1"/>
    <col min="3" max="3" width="62.7109375" style="16" customWidth="1"/>
    <col min="4" max="5" width="13.7109375" style="16" customWidth="1"/>
    <col min="6"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2"/>
      <c r="C3" s="452"/>
      <c r="D3" s="452"/>
      <c r="E3" s="452"/>
      <c r="F3" s="452"/>
      <c r="G3" s="452"/>
      <c r="H3" s="452"/>
    </row>
    <row r="4" spans="1:11" s="10" customFormat="1" ht="5.0999999999999996" customHeight="1" x14ac:dyDescent="0.2">
      <c r="A4" s="7"/>
      <c r="B4" s="7"/>
      <c r="C4" s="7"/>
      <c r="D4" s="8"/>
      <c r="E4" s="8"/>
      <c r="F4" s="9"/>
      <c r="G4" s="9"/>
      <c r="H4" s="9"/>
      <c r="J4" s="7"/>
      <c r="K4" s="7"/>
    </row>
    <row r="5" spans="1:11" s="3" customFormat="1" ht="18" x14ac:dyDescent="0.25">
      <c r="A5" s="13"/>
      <c r="B5" s="136" t="s">
        <v>70</v>
      </c>
    </row>
    <row r="7" spans="1:11" x14ac:dyDescent="0.2">
      <c r="A7" s="14"/>
      <c r="B7" s="459" t="s">
        <v>22</v>
      </c>
      <c r="C7" s="460"/>
      <c r="D7" s="46" t="s">
        <v>23</v>
      </c>
      <c r="E7" s="47" t="s">
        <v>24</v>
      </c>
    </row>
    <row r="8" spans="1:11" ht="33.75" x14ac:dyDescent="0.2">
      <c r="A8" s="14"/>
      <c r="B8" s="461"/>
      <c r="C8" s="462"/>
      <c r="D8" s="17" t="s">
        <v>71</v>
      </c>
      <c r="E8" s="48" t="s">
        <v>72</v>
      </c>
    </row>
    <row r="9" spans="1:11" x14ac:dyDescent="0.2">
      <c r="A9" s="12"/>
      <c r="B9" s="463" t="s">
        <v>73</v>
      </c>
      <c r="C9" s="464"/>
      <c r="D9" s="464"/>
      <c r="E9" s="465"/>
    </row>
    <row r="10" spans="1:11" x14ac:dyDescent="0.2">
      <c r="A10" s="12"/>
      <c r="B10" s="25">
        <v>1</v>
      </c>
      <c r="C10" s="15" t="s">
        <v>74</v>
      </c>
      <c r="D10" s="49"/>
      <c r="E10" s="50">
        <f>1669143500.67/1000000</f>
        <v>1669.1435006700001</v>
      </c>
    </row>
    <row r="11" spans="1:11" x14ac:dyDescent="0.2">
      <c r="A11" s="12"/>
      <c r="B11" s="463" t="s">
        <v>75</v>
      </c>
      <c r="C11" s="464"/>
      <c r="D11" s="464"/>
      <c r="E11" s="465"/>
    </row>
    <row r="12" spans="1:11" x14ac:dyDescent="0.2">
      <c r="A12" s="12"/>
      <c r="B12" s="25">
        <v>2</v>
      </c>
      <c r="C12" s="15" t="s">
        <v>76</v>
      </c>
      <c r="D12" s="419">
        <v>9001.6034</v>
      </c>
      <c r="E12" s="420">
        <v>605.02269999999999</v>
      </c>
    </row>
    <row r="13" spans="1:11" x14ac:dyDescent="0.2">
      <c r="A13" s="12"/>
      <c r="B13" s="25">
        <v>3</v>
      </c>
      <c r="C13" s="15" t="s">
        <v>77</v>
      </c>
      <c r="D13" s="18">
        <v>4706.5</v>
      </c>
      <c r="E13" s="50">
        <f>D13*5%</f>
        <v>235.32500000000002</v>
      </c>
    </row>
    <row r="14" spans="1:11" x14ac:dyDescent="0.2">
      <c r="A14" s="12"/>
      <c r="B14" s="25">
        <v>4</v>
      </c>
      <c r="C14" s="15" t="s">
        <v>78</v>
      </c>
      <c r="D14" s="18">
        <v>2.1459999999999999</v>
      </c>
      <c r="E14" s="50">
        <v>2.1459999999999999</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3675.5610000000001</v>
      </c>
      <c r="E17" s="50">
        <f>D17*10%</f>
        <v>367.55610000000001</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2821.3485000000001</v>
      </c>
      <c r="E23" s="50">
        <v>141.06742499999999</v>
      </c>
    </row>
    <row r="24" spans="1:5" x14ac:dyDescent="0.2">
      <c r="A24" s="12"/>
      <c r="B24" s="25">
        <v>14</v>
      </c>
      <c r="C24" s="15" t="s">
        <v>88</v>
      </c>
      <c r="D24" s="403">
        <v>1427.7380000000001</v>
      </c>
      <c r="E24" s="50">
        <v>112.267858</v>
      </c>
    </row>
    <row r="25" spans="1:5" x14ac:dyDescent="0.2">
      <c r="A25" s="12"/>
      <c r="B25" s="25">
        <v>15</v>
      </c>
      <c r="C25" s="15" t="s">
        <v>89</v>
      </c>
      <c r="D25" s="18"/>
      <c r="E25" s="50"/>
    </row>
    <row r="26" spans="1:5" x14ac:dyDescent="0.2">
      <c r="A26" s="12"/>
      <c r="B26" s="25">
        <v>16</v>
      </c>
      <c r="C26" s="15" t="s">
        <v>90</v>
      </c>
      <c r="D26" s="51"/>
      <c r="E26" s="52">
        <f>SUM(E13:E25)</f>
        <v>858.36238300000002</v>
      </c>
    </row>
    <row r="27" spans="1:5" x14ac:dyDescent="0.2">
      <c r="A27" s="12"/>
      <c r="B27" s="463" t="s">
        <v>91</v>
      </c>
      <c r="C27" s="464"/>
      <c r="D27" s="464"/>
      <c r="E27" s="465"/>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f>E30/0.75</f>
        <v>1430.6042271866665</v>
      </c>
      <c r="E30" s="52">
        <f>E26+E34</f>
        <v>1072.95317039</v>
      </c>
    </row>
    <row r="31" spans="1:5" x14ac:dyDescent="0.2">
      <c r="A31" s="12"/>
      <c r="B31" s="25">
        <v>20</v>
      </c>
      <c r="C31" s="15" t="s">
        <v>95</v>
      </c>
      <c r="D31" s="18">
        <f>D30</f>
        <v>1430.6042271866665</v>
      </c>
      <c r="E31" s="52">
        <f>E30</f>
        <v>1072.95317039</v>
      </c>
    </row>
    <row r="32" spans="1:5" ht="22.5" x14ac:dyDescent="0.2">
      <c r="A32" s="12"/>
      <c r="B32" s="53"/>
      <c r="C32" s="54"/>
      <c r="D32" s="54"/>
      <c r="E32" s="48" t="s">
        <v>96</v>
      </c>
    </row>
    <row r="33" spans="1:5" x14ac:dyDescent="0.2">
      <c r="A33" s="12"/>
      <c r="B33" s="25">
        <v>21</v>
      </c>
      <c r="C33" s="15" t="s">
        <v>74</v>
      </c>
      <c r="D33" s="55"/>
      <c r="E33" s="50">
        <f>E10</f>
        <v>1669.1435006700001</v>
      </c>
    </row>
    <row r="34" spans="1:5" x14ac:dyDescent="0.2">
      <c r="A34" s="12"/>
      <c r="B34" s="25">
        <v>22</v>
      </c>
      <c r="C34" s="15" t="s">
        <v>97</v>
      </c>
      <c r="D34" s="55"/>
      <c r="E34" s="50">
        <f>214590787.39/1000000</f>
        <v>214.59078738999997</v>
      </c>
    </row>
    <row r="35" spans="1:5" x14ac:dyDescent="0.2">
      <c r="A35" s="12"/>
      <c r="B35" s="30">
        <v>23</v>
      </c>
      <c r="C35" s="19" t="s">
        <v>98</v>
      </c>
      <c r="D35" s="56"/>
      <c r="E35" s="57">
        <f>E33/E34</f>
        <v>7.7782626224138776</v>
      </c>
    </row>
    <row r="36" spans="1:5" x14ac:dyDescent="0.2">
      <c r="A36" s="12"/>
    </row>
    <row r="37" spans="1:5" x14ac:dyDescent="0.2">
      <c r="A37" s="12"/>
    </row>
    <row r="38" spans="1:5" x14ac:dyDescent="0.2">
      <c r="A38" s="12"/>
    </row>
    <row r="39" spans="1:5" x14ac:dyDescent="0.2">
      <c r="A39" s="12"/>
      <c r="C39" s="58"/>
    </row>
    <row r="40" spans="1:5" x14ac:dyDescent="0.2">
      <c r="A40" s="12"/>
    </row>
    <row r="41" spans="1:5" x14ac:dyDescent="0.2">
      <c r="A41" s="12"/>
    </row>
    <row r="42" spans="1:5" x14ac:dyDescent="0.2">
      <c r="A42" s="12"/>
    </row>
    <row r="43" spans="1:5" x14ac:dyDescent="0.2">
      <c r="A43" s="12"/>
    </row>
    <row r="44" spans="1:5" x14ac:dyDescent="0.2">
      <c r="A44" s="12"/>
    </row>
    <row r="45" spans="1:5" x14ac:dyDescent="0.2">
      <c r="A45" s="12"/>
    </row>
    <row r="46" spans="1:5" x14ac:dyDescent="0.2">
      <c r="A46" s="12"/>
    </row>
    <row r="47" spans="1:5" x14ac:dyDescent="0.2">
      <c r="A47" s="12"/>
    </row>
    <row r="48" spans="1:5"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x14ac:dyDescent="0.2">
      <c r="A71" s="20"/>
    </row>
    <row r="72" spans="1:5" x14ac:dyDescent="0.2">
      <c r="A72" s="20"/>
    </row>
    <row r="73" spans="1:5" x14ac:dyDescent="0.2">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G1" sqref="G1"/>
    </sheetView>
  </sheetViews>
  <sheetFormatPr defaultColWidth="8.85546875" defaultRowHeight="11.25" x14ac:dyDescent="0.25"/>
  <cols>
    <col min="1" max="1" width="2.7109375" style="23" customWidth="1"/>
    <col min="2" max="2" width="11.5703125" style="59" customWidth="1"/>
    <col min="3" max="3" width="50.85546875" style="59" customWidth="1"/>
    <col min="4" max="11" width="15.7109375" style="59" customWidth="1"/>
    <col min="12" max="12" width="13.7109375" style="59" customWidth="1"/>
    <col min="13" max="13" width="9.5703125" style="59" bestFit="1" customWidth="1"/>
    <col min="14" max="16384" width="8.85546875" style="59"/>
  </cols>
  <sheetData>
    <row r="1" spans="1:36" s="10" customFormat="1" ht="11.25" customHeight="1" x14ac:dyDescent="0.2">
      <c r="A1" s="7"/>
      <c r="B1" s="7"/>
      <c r="C1" s="7"/>
      <c r="D1" s="8"/>
      <c r="E1" s="8"/>
      <c r="F1" s="9"/>
      <c r="G1" s="9"/>
      <c r="H1" s="9"/>
    </row>
    <row r="2" spans="1:36" s="10" customFormat="1" ht="5.25" customHeight="1" x14ac:dyDescent="0.2">
      <c r="A2" s="7"/>
      <c r="B2" s="7"/>
      <c r="C2" s="7"/>
      <c r="D2" s="8"/>
      <c r="E2" s="8"/>
      <c r="F2" s="9"/>
      <c r="G2" s="9"/>
      <c r="H2" s="9"/>
    </row>
    <row r="3" spans="1:36" s="12" customFormat="1" ht="12.75" customHeight="1" x14ac:dyDescent="0.2">
      <c r="A3" s="11"/>
      <c r="B3" s="452"/>
      <c r="C3" s="452"/>
      <c r="D3" s="452"/>
      <c r="E3" s="452"/>
      <c r="F3" s="452"/>
      <c r="G3" s="452"/>
      <c r="H3" s="452"/>
    </row>
    <row r="4" spans="1:36" s="10" customFormat="1" ht="5.0999999999999996" customHeight="1" x14ac:dyDescent="0.2">
      <c r="A4" s="7"/>
      <c r="B4" s="7"/>
      <c r="C4" s="7"/>
      <c r="D4" s="8"/>
      <c r="E4" s="8"/>
      <c r="F4" s="9"/>
      <c r="G4" s="9"/>
      <c r="H4" s="9"/>
      <c r="J4" s="7"/>
      <c r="K4" s="7"/>
    </row>
    <row r="5" spans="1:36" s="3" customFormat="1" ht="18" x14ac:dyDescent="0.25">
      <c r="A5" s="13"/>
      <c r="B5" s="136" t="s">
        <v>515</v>
      </c>
    </row>
    <row r="6" spans="1:36" ht="11.25" customHeight="1" x14ac:dyDescent="0.25">
      <c r="F6" s="60"/>
      <c r="G6" s="60"/>
      <c r="H6" s="60"/>
      <c r="I6" s="60"/>
      <c r="J6" s="60"/>
      <c r="K6" s="60"/>
    </row>
    <row r="7" spans="1:36" x14ac:dyDescent="0.2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x14ac:dyDescent="0.2">
      <c r="A9" s="12"/>
      <c r="B9" s="64"/>
      <c r="C9" s="65"/>
      <c r="D9" s="468"/>
      <c r="E9" s="469"/>
      <c r="F9" s="472"/>
      <c r="G9" s="473"/>
      <c r="H9" s="468"/>
      <c r="I9" s="469"/>
      <c r="J9" s="472"/>
      <c r="K9" s="473"/>
    </row>
    <row r="10" spans="1:36" s="66" customFormat="1" x14ac:dyDescent="0.2">
      <c r="A10" s="12"/>
      <c r="B10" s="368" t="s">
        <v>662</v>
      </c>
      <c r="C10" s="68"/>
      <c r="D10" s="470"/>
      <c r="E10" s="471"/>
      <c r="F10" s="474"/>
      <c r="G10" s="475"/>
      <c r="H10" s="470"/>
      <c r="I10" s="471"/>
      <c r="J10" s="474"/>
      <c r="K10" s="475"/>
    </row>
    <row r="11" spans="1:36" s="66" customFormat="1" ht="15" x14ac:dyDescent="0.2">
      <c r="A11" s="12"/>
      <c r="B11" s="67"/>
      <c r="C11" s="69"/>
      <c r="D11" s="482" t="s">
        <v>99</v>
      </c>
      <c r="E11" s="482"/>
      <c r="F11" s="482"/>
      <c r="G11" s="482" t="s">
        <v>100</v>
      </c>
      <c r="H11" s="482"/>
      <c r="I11" s="482" t="s">
        <v>101</v>
      </c>
      <c r="J11" s="482"/>
      <c r="K11" s="482"/>
      <c r="L11" s="482" t="s">
        <v>102</v>
      </c>
      <c r="M11" s="482"/>
    </row>
    <row r="12" spans="1:36" s="66" customFormat="1" ht="60" x14ac:dyDescent="0.2">
      <c r="A12" s="12"/>
      <c r="B12" s="71"/>
      <c r="C12" s="68"/>
      <c r="D12" s="355"/>
      <c r="E12" s="356" t="s">
        <v>647</v>
      </c>
      <c r="F12" s="356" t="s">
        <v>648</v>
      </c>
      <c r="G12" s="355"/>
      <c r="H12" s="356" t="s">
        <v>648</v>
      </c>
      <c r="I12" s="355"/>
      <c r="J12" s="356" t="s">
        <v>647</v>
      </c>
      <c r="K12" s="356" t="s">
        <v>648</v>
      </c>
      <c r="L12" s="355"/>
      <c r="M12" s="360" t="s">
        <v>648</v>
      </c>
      <c r="N12" s="361"/>
      <c r="O12" s="361"/>
      <c r="P12" s="361"/>
    </row>
    <row r="13" spans="1:36" x14ac:dyDescent="0.2">
      <c r="A13" s="12"/>
      <c r="B13" s="73" t="s">
        <v>649</v>
      </c>
      <c r="C13" s="365" t="s">
        <v>650</v>
      </c>
      <c r="D13" s="365">
        <v>10</v>
      </c>
      <c r="E13" s="365">
        <v>20</v>
      </c>
      <c r="F13" s="365">
        <v>30</v>
      </c>
      <c r="G13" s="365">
        <v>40</v>
      </c>
      <c r="H13" s="365">
        <v>50</v>
      </c>
      <c r="I13" s="365">
        <v>60</v>
      </c>
      <c r="J13" s="365">
        <v>70</v>
      </c>
      <c r="K13" s="365">
        <v>80</v>
      </c>
      <c r="L13" s="365">
        <v>90</v>
      </c>
      <c r="M13" s="365">
        <v>100</v>
      </c>
      <c r="N13" s="362"/>
      <c r="O13" s="363"/>
      <c r="P13" s="363"/>
    </row>
    <row r="14" spans="1:36" x14ac:dyDescent="0.2">
      <c r="A14" s="12"/>
      <c r="B14" s="358">
        <v>10</v>
      </c>
      <c r="C14" s="357" t="s">
        <v>111</v>
      </c>
      <c r="D14" s="367">
        <v>0</v>
      </c>
      <c r="E14" s="367">
        <v>0</v>
      </c>
      <c r="F14" s="367">
        <v>0</v>
      </c>
      <c r="G14" s="367">
        <v>0</v>
      </c>
      <c r="H14" s="367">
        <v>0</v>
      </c>
      <c r="I14" s="367">
        <v>3052.2132376299983</v>
      </c>
      <c r="J14" s="367">
        <v>0</v>
      </c>
      <c r="K14" s="367">
        <v>1848.0247660499999</v>
      </c>
      <c r="L14" s="367">
        <v>0</v>
      </c>
      <c r="M14" s="367">
        <v>0</v>
      </c>
      <c r="N14" s="362"/>
      <c r="O14" s="363"/>
      <c r="P14" s="363"/>
    </row>
    <row r="15" spans="1:36" x14ac:dyDescent="0.2">
      <c r="A15" s="12"/>
      <c r="B15" s="359">
        <v>20</v>
      </c>
      <c r="C15" s="357" t="s">
        <v>651</v>
      </c>
      <c r="D15" s="367">
        <v>0</v>
      </c>
      <c r="E15" s="367"/>
      <c r="F15" s="367">
        <v>0</v>
      </c>
      <c r="G15" s="367">
        <v>0</v>
      </c>
      <c r="H15" s="367">
        <v>0</v>
      </c>
      <c r="I15" s="367">
        <v>1204.1884715799983</v>
      </c>
      <c r="J15" s="367">
        <v>0</v>
      </c>
      <c r="K15" s="367">
        <v>0</v>
      </c>
      <c r="L15" s="367">
        <v>0</v>
      </c>
      <c r="M15" s="367">
        <v>0</v>
      </c>
      <c r="N15" s="362"/>
      <c r="O15" s="363"/>
      <c r="P15" s="363"/>
    </row>
    <row r="16" spans="1:36" x14ac:dyDescent="0.2">
      <c r="A16" s="12"/>
      <c r="B16" s="359">
        <v>30</v>
      </c>
      <c r="C16" s="357" t="s">
        <v>652</v>
      </c>
      <c r="D16" s="367">
        <v>0</v>
      </c>
      <c r="E16" s="367">
        <v>0</v>
      </c>
      <c r="F16" s="367">
        <v>0</v>
      </c>
      <c r="G16" s="367">
        <v>0</v>
      </c>
      <c r="H16" s="367">
        <v>0</v>
      </c>
      <c r="I16" s="367">
        <v>0</v>
      </c>
      <c r="J16" s="367">
        <v>0</v>
      </c>
      <c r="K16" s="367">
        <v>0</v>
      </c>
      <c r="L16" s="367">
        <v>0</v>
      </c>
      <c r="M16" s="367">
        <v>0</v>
      </c>
      <c r="N16" s="362"/>
      <c r="O16" s="363"/>
      <c r="P16" s="363"/>
    </row>
    <row r="17" spans="1:36" x14ac:dyDescent="0.2">
      <c r="A17" s="12"/>
      <c r="B17" s="359">
        <v>40</v>
      </c>
      <c r="C17" s="357" t="s">
        <v>653</v>
      </c>
      <c r="D17" s="367">
        <v>0</v>
      </c>
      <c r="E17" s="367">
        <v>0</v>
      </c>
      <c r="F17" s="367">
        <v>0</v>
      </c>
      <c r="G17" s="367">
        <v>0</v>
      </c>
      <c r="H17" s="367">
        <v>0</v>
      </c>
      <c r="I17" s="367">
        <v>1848.0247660499999</v>
      </c>
      <c r="J17" s="367">
        <v>0</v>
      </c>
      <c r="K17" s="367">
        <v>1848.0247660499999</v>
      </c>
      <c r="L17" s="367">
        <v>1848.0247660499999</v>
      </c>
      <c r="M17" s="367">
        <v>1848.0247660499999</v>
      </c>
      <c r="N17" s="362"/>
      <c r="O17" s="363"/>
      <c r="P17" s="363"/>
    </row>
    <row r="18" spans="1:36" x14ac:dyDescent="0.2">
      <c r="A18" s="12"/>
      <c r="B18" s="359">
        <v>50</v>
      </c>
      <c r="C18" s="357" t="s">
        <v>654</v>
      </c>
      <c r="D18" s="367">
        <v>0</v>
      </c>
      <c r="E18" s="367">
        <v>0</v>
      </c>
      <c r="F18" s="367">
        <v>0</v>
      </c>
      <c r="G18" s="367">
        <v>0</v>
      </c>
      <c r="H18" s="367">
        <v>0</v>
      </c>
      <c r="I18" s="367">
        <v>835.63470001999997</v>
      </c>
      <c r="J18" s="367">
        <v>0</v>
      </c>
      <c r="K18" s="367">
        <v>835.63470001999997</v>
      </c>
      <c r="L18" s="367">
        <v>835.63470001999997</v>
      </c>
      <c r="M18" s="367">
        <v>835.63470001999997</v>
      </c>
      <c r="N18" s="362"/>
      <c r="O18" s="363"/>
      <c r="P18" s="363"/>
    </row>
    <row r="19" spans="1:36" x14ac:dyDescent="0.2">
      <c r="A19" s="12"/>
      <c r="B19" s="359">
        <v>60</v>
      </c>
      <c r="C19" s="357" t="s">
        <v>655</v>
      </c>
      <c r="D19" s="367">
        <v>0</v>
      </c>
      <c r="E19" s="367">
        <v>0</v>
      </c>
      <c r="F19" s="367">
        <v>0</v>
      </c>
      <c r="G19" s="367">
        <v>0</v>
      </c>
      <c r="H19" s="367">
        <v>0</v>
      </c>
      <c r="I19" s="367">
        <v>0</v>
      </c>
      <c r="J19" s="367">
        <v>0</v>
      </c>
      <c r="K19" s="367">
        <v>0</v>
      </c>
      <c r="L19" s="367">
        <v>0</v>
      </c>
      <c r="M19" s="367">
        <v>0</v>
      </c>
      <c r="N19" s="362"/>
      <c r="O19" s="363"/>
      <c r="P19" s="363"/>
    </row>
    <row r="20" spans="1:36" x14ac:dyDescent="0.2">
      <c r="A20" s="12"/>
      <c r="B20" s="359">
        <v>70</v>
      </c>
      <c r="C20" s="357" t="s">
        <v>656</v>
      </c>
      <c r="D20" s="367">
        <v>0</v>
      </c>
      <c r="E20" s="367">
        <v>0</v>
      </c>
      <c r="F20" s="367">
        <v>0</v>
      </c>
      <c r="G20" s="367">
        <v>0</v>
      </c>
      <c r="H20" s="367">
        <v>0</v>
      </c>
      <c r="I20" s="367">
        <v>1012.39006603</v>
      </c>
      <c r="J20" s="367">
        <v>0</v>
      </c>
      <c r="K20" s="367">
        <v>1012.39006603</v>
      </c>
      <c r="L20" s="367">
        <v>1012.39006603</v>
      </c>
      <c r="M20" s="367">
        <v>1012.39006603</v>
      </c>
      <c r="N20" s="362"/>
      <c r="O20" s="363"/>
      <c r="P20" s="363"/>
    </row>
    <row r="21" spans="1:36" x14ac:dyDescent="0.2">
      <c r="A21" s="12"/>
      <c r="B21" s="359">
        <v>80</v>
      </c>
      <c r="C21" s="357" t="s">
        <v>657</v>
      </c>
      <c r="D21" s="367">
        <v>0</v>
      </c>
      <c r="E21" s="367">
        <v>0</v>
      </c>
      <c r="F21" s="367">
        <v>0</v>
      </c>
      <c r="G21" s="367">
        <v>0</v>
      </c>
      <c r="H21" s="367">
        <v>0</v>
      </c>
      <c r="I21" s="367">
        <v>0</v>
      </c>
      <c r="J21" s="367">
        <v>0</v>
      </c>
      <c r="K21" s="367">
        <v>0</v>
      </c>
      <c r="L21" s="367">
        <v>0</v>
      </c>
      <c r="M21" s="367">
        <v>0</v>
      </c>
      <c r="N21" s="362"/>
      <c r="O21" s="363"/>
      <c r="P21" s="363"/>
    </row>
    <row r="22" spans="1:36" x14ac:dyDescent="0.2">
      <c r="A22" s="12"/>
      <c r="B22" s="359">
        <v>90</v>
      </c>
      <c r="C22" s="357" t="s">
        <v>658</v>
      </c>
      <c r="D22" s="367">
        <v>0</v>
      </c>
      <c r="E22" s="367">
        <v>0</v>
      </c>
      <c r="F22" s="367">
        <v>0</v>
      </c>
      <c r="G22" s="367">
        <v>0</v>
      </c>
      <c r="H22" s="367">
        <v>0</v>
      </c>
      <c r="I22" s="367">
        <v>0</v>
      </c>
      <c r="J22" s="367">
        <v>0</v>
      </c>
      <c r="K22" s="367">
        <v>0</v>
      </c>
      <c r="L22" s="367">
        <v>0</v>
      </c>
      <c r="M22" s="367">
        <v>0</v>
      </c>
      <c r="N22" s="362"/>
      <c r="O22" s="363"/>
      <c r="P22" s="363"/>
    </row>
    <row r="23" spans="1:36" x14ac:dyDescent="0.2">
      <c r="A23" s="12"/>
      <c r="B23" s="359">
        <v>100</v>
      </c>
      <c r="C23" s="357" t="s">
        <v>659</v>
      </c>
      <c r="D23" s="367">
        <v>0</v>
      </c>
      <c r="E23" s="367">
        <v>0</v>
      </c>
      <c r="F23" s="367">
        <v>0</v>
      </c>
      <c r="G23" s="367">
        <v>0</v>
      </c>
      <c r="H23" s="367">
        <v>0</v>
      </c>
      <c r="I23" s="367">
        <v>0</v>
      </c>
      <c r="J23" s="367">
        <v>0</v>
      </c>
      <c r="K23" s="367">
        <v>0</v>
      </c>
      <c r="L23" s="367">
        <v>0</v>
      </c>
      <c r="M23" s="367">
        <v>0</v>
      </c>
      <c r="N23" s="362"/>
      <c r="O23" s="363"/>
      <c r="P23" s="363"/>
    </row>
    <row r="24" spans="1:36" x14ac:dyDescent="0.2">
      <c r="A24" s="12"/>
      <c r="B24" s="359">
        <v>110</v>
      </c>
      <c r="C24" s="357" t="s">
        <v>660</v>
      </c>
      <c r="D24" s="367">
        <v>0</v>
      </c>
      <c r="E24" s="367">
        <v>0</v>
      </c>
      <c r="F24" s="367">
        <v>0</v>
      </c>
      <c r="G24" s="367">
        <v>0</v>
      </c>
      <c r="H24" s="367">
        <v>0</v>
      </c>
      <c r="I24" s="367">
        <v>0</v>
      </c>
      <c r="J24" s="367">
        <v>0</v>
      </c>
      <c r="K24" s="367">
        <v>0</v>
      </c>
      <c r="L24" s="367">
        <v>0</v>
      </c>
      <c r="M24" s="367">
        <v>0</v>
      </c>
      <c r="N24" s="362"/>
      <c r="O24" s="363"/>
      <c r="P24" s="363"/>
    </row>
    <row r="25" spans="1:36" x14ac:dyDescent="0.2">
      <c r="A25" s="12"/>
      <c r="B25" s="359">
        <v>120</v>
      </c>
      <c r="C25" s="357" t="s">
        <v>661</v>
      </c>
      <c r="D25" s="367">
        <v>0</v>
      </c>
      <c r="E25" s="367">
        <v>0</v>
      </c>
      <c r="F25" s="367">
        <v>0</v>
      </c>
      <c r="G25" s="367">
        <v>0</v>
      </c>
      <c r="H25" s="367">
        <v>0</v>
      </c>
      <c r="I25" s="367">
        <v>0</v>
      </c>
      <c r="J25" s="367">
        <v>0</v>
      </c>
      <c r="K25" s="367">
        <v>0</v>
      </c>
      <c r="L25" s="367">
        <v>0</v>
      </c>
      <c r="M25" s="367">
        <v>0</v>
      </c>
      <c r="N25" s="363"/>
      <c r="O25" s="363"/>
      <c r="P25" s="363"/>
    </row>
    <row r="26" spans="1:36" s="78" customFormat="1" x14ac:dyDescent="0.2">
      <c r="A26" s="12"/>
      <c r="B26" s="76"/>
      <c r="C26" s="77"/>
      <c r="D26" s="75"/>
      <c r="E26" s="75"/>
      <c r="F26" s="75"/>
      <c r="G26" s="75"/>
      <c r="H26" s="75"/>
      <c r="I26" s="75"/>
      <c r="J26" s="75"/>
      <c r="N26" s="364"/>
      <c r="O26" s="364"/>
      <c r="P26" s="364"/>
    </row>
    <row r="27" spans="1:36" s="63" customFormat="1" x14ac:dyDescent="0.2">
      <c r="A27" s="12"/>
      <c r="B27" s="375"/>
      <c r="C27" s="369"/>
      <c r="D27" s="369"/>
      <c r="E27" s="369"/>
      <c r="F27" s="369"/>
      <c r="G27" s="369"/>
      <c r="H27" s="62"/>
      <c r="J27" s="59"/>
      <c r="K27" s="59"/>
      <c r="L27" s="59"/>
      <c r="M27" s="59"/>
      <c r="N27" s="363"/>
      <c r="O27" s="363"/>
      <c r="P27" s="363"/>
      <c r="Q27" s="59"/>
      <c r="R27" s="59"/>
      <c r="S27" s="59"/>
      <c r="T27" s="59"/>
      <c r="U27" s="59"/>
      <c r="V27" s="59"/>
      <c r="W27" s="59"/>
      <c r="X27" s="59"/>
      <c r="Y27" s="59"/>
      <c r="Z27" s="59"/>
      <c r="AA27" s="59"/>
      <c r="AB27" s="59"/>
      <c r="AC27" s="59"/>
      <c r="AD27" s="59"/>
      <c r="AE27" s="59"/>
      <c r="AF27" s="59"/>
      <c r="AG27" s="59"/>
      <c r="AH27" s="59"/>
      <c r="AI27" s="59"/>
      <c r="AJ27" s="59"/>
    </row>
    <row r="28" spans="1:36" s="66" customFormat="1" x14ac:dyDescent="0.2">
      <c r="A28" s="12"/>
      <c r="B28" s="385" t="s">
        <v>117</v>
      </c>
      <c r="C28" s="377"/>
      <c r="D28" s="384"/>
      <c r="E28" s="384"/>
      <c r="F28" s="483"/>
      <c r="G28" s="484"/>
      <c r="H28" s="372"/>
      <c r="I28" s="79"/>
      <c r="N28" s="361"/>
      <c r="O28" s="361"/>
      <c r="P28" s="361"/>
    </row>
    <row r="29" spans="1:36" s="66" customFormat="1" ht="36.75" customHeight="1" x14ac:dyDescent="0.2">
      <c r="A29" s="12"/>
      <c r="B29" s="376"/>
      <c r="D29" s="383" t="s">
        <v>117</v>
      </c>
      <c r="E29" s="384"/>
      <c r="F29" s="483"/>
      <c r="G29" s="483"/>
      <c r="H29" s="485"/>
      <c r="N29" s="361"/>
      <c r="O29" s="361"/>
      <c r="P29" s="361"/>
    </row>
    <row r="30" spans="1:36" s="66" customFormat="1" x14ac:dyDescent="0.2">
      <c r="A30" s="12"/>
      <c r="B30" s="73" t="s">
        <v>650</v>
      </c>
      <c r="C30" s="365" t="s">
        <v>649</v>
      </c>
      <c r="D30" s="365">
        <v>10</v>
      </c>
      <c r="E30" s="378"/>
      <c r="F30" s="379"/>
      <c r="G30" s="378"/>
      <c r="H30" s="485"/>
    </row>
    <row r="31" spans="1:36" s="66" customFormat="1" x14ac:dyDescent="0.2">
      <c r="A31" s="12"/>
      <c r="B31" s="389">
        <v>10</v>
      </c>
      <c r="C31" s="390" t="s">
        <v>663</v>
      </c>
      <c r="D31" s="370"/>
      <c r="E31" s="380"/>
      <c r="F31" s="380"/>
      <c r="G31" s="380"/>
      <c r="H31" s="80"/>
    </row>
    <row r="32" spans="1:36" x14ac:dyDescent="0.2">
      <c r="A32" s="12"/>
      <c r="B32" s="391">
        <v>20</v>
      </c>
      <c r="C32" s="386" t="s">
        <v>664</v>
      </c>
      <c r="D32" s="392"/>
      <c r="E32" s="382"/>
      <c r="F32" s="382"/>
      <c r="G32" s="382"/>
      <c r="H32" s="74"/>
      <c r="L32" s="421"/>
    </row>
    <row r="33" spans="1:10" x14ac:dyDescent="0.2">
      <c r="A33" s="12"/>
      <c r="B33" s="391">
        <v>30</v>
      </c>
      <c r="C33" s="388" t="s">
        <v>665</v>
      </c>
      <c r="D33" s="392"/>
      <c r="E33" s="382"/>
      <c r="F33" s="382"/>
      <c r="G33" s="382"/>
      <c r="H33" s="74"/>
    </row>
    <row r="34" spans="1:10" x14ac:dyDescent="0.2">
      <c r="A34" s="12"/>
      <c r="B34" s="391">
        <v>40</v>
      </c>
      <c r="C34" s="388" t="s">
        <v>666</v>
      </c>
      <c r="D34" s="392"/>
      <c r="E34" s="382"/>
      <c r="F34" s="382"/>
      <c r="G34" s="382"/>
      <c r="H34" s="74"/>
    </row>
    <row r="35" spans="1:10" x14ac:dyDescent="0.2">
      <c r="A35" s="12"/>
      <c r="B35" s="391">
        <v>50</v>
      </c>
      <c r="C35" s="388" t="s">
        <v>667</v>
      </c>
      <c r="D35" s="392"/>
      <c r="E35" s="382"/>
      <c r="F35" s="382"/>
      <c r="G35" s="382"/>
      <c r="H35" s="74"/>
    </row>
    <row r="36" spans="1:10" s="78" customFormat="1" x14ac:dyDescent="0.2">
      <c r="A36" s="12"/>
      <c r="B36" s="391">
        <v>60</v>
      </c>
      <c r="C36" s="371" t="s">
        <v>668</v>
      </c>
      <c r="D36" s="392"/>
      <c r="E36" s="382"/>
      <c r="F36" s="382"/>
      <c r="G36" s="382"/>
      <c r="H36" s="74"/>
    </row>
    <row r="37" spans="1:10" s="78" customFormat="1" x14ac:dyDescent="0.2">
      <c r="A37" s="12"/>
      <c r="B37" s="391">
        <v>70</v>
      </c>
      <c r="C37" s="371" t="s">
        <v>669</v>
      </c>
      <c r="D37" s="392"/>
      <c r="E37" s="382"/>
      <c r="F37" s="382"/>
      <c r="G37" s="382"/>
      <c r="H37" s="74"/>
    </row>
    <row r="38" spans="1:10" s="78" customFormat="1" x14ac:dyDescent="0.2">
      <c r="A38" s="12"/>
      <c r="B38" s="391">
        <v>80</v>
      </c>
      <c r="C38" s="371" t="s">
        <v>668</v>
      </c>
      <c r="D38" s="392"/>
      <c r="E38" s="382"/>
      <c r="F38" s="382"/>
      <c r="G38" s="382"/>
      <c r="H38" s="74"/>
    </row>
    <row r="39" spans="1:10" s="78" customFormat="1" x14ac:dyDescent="0.2">
      <c r="A39" s="12"/>
      <c r="B39" s="391">
        <v>90</v>
      </c>
      <c r="C39" s="371" t="s">
        <v>670</v>
      </c>
      <c r="D39" s="392"/>
      <c r="E39" s="382"/>
      <c r="F39" s="382"/>
      <c r="G39" s="382"/>
      <c r="H39" s="74"/>
    </row>
    <row r="40" spans="1:10" s="78" customFormat="1" x14ac:dyDescent="0.2">
      <c r="A40" s="12"/>
      <c r="B40" s="391">
        <v>100</v>
      </c>
      <c r="C40" s="371" t="s">
        <v>671</v>
      </c>
      <c r="D40" s="392"/>
      <c r="E40" s="382"/>
      <c r="F40" s="382"/>
      <c r="G40" s="382"/>
      <c r="H40" s="74"/>
    </row>
    <row r="41" spans="1:10" s="78" customFormat="1" x14ac:dyDescent="0.2">
      <c r="A41" s="12"/>
      <c r="B41" s="391">
        <v>110</v>
      </c>
      <c r="C41" s="388" t="s">
        <v>672</v>
      </c>
      <c r="D41" s="392"/>
      <c r="E41" s="382"/>
      <c r="F41" s="382"/>
      <c r="G41" s="382"/>
      <c r="H41" s="74"/>
    </row>
    <row r="42" spans="1:10" s="78" customFormat="1" x14ac:dyDescent="0.2">
      <c r="A42" s="12"/>
      <c r="B42" s="391">
        <v>120</v>
      </c>
      <c r="C42" s="388" t="s">
        <v>673</v>
      </c>
      <c r="D42" s="392"/>
      <c r="E42" s="382"/>
      <c r="F42" s="382"/>
      <c r="G42" s="382"/>
      <c r="H42" s="74"/>
    </row>
    <row r="43" spans="1:10" s="78" customFormat="1" x14ac:dyDescent="0.2">
      <c r="A43" s="12"/>
      <c r="B43" s="391">
        <v>170</v>
      </c>
      <c r="C43" s="371" t="s">
        <v>674</v>
      </c>
      <c r="D43" s="392"/>
      <c r="E43" s="382"/>
      <c r="F43" s="382"/>
      <c r="G43" s="382"/>
      <c r="H43" s="74"/>
    </row>
    <row r="44" spans="1:10" s="78" customFormat="1" x14ac:dyDescent="0.2">
      <c r="A44" s="12"/>
      <c r="B44" s="380"/>
      <c r="C44" s="381"/>
      <c r="D44" s="382"/>
      <c r="E44" s="382"/>
      <c r="F44" s="382"/>
      <c r="G44" s="382"/>
      <c r="H44" s="74"/>
    </row>
    <row r="45" spans="1:10" s="78" customFormat="1" x14ac:dyDescent="0.2">
      <c r="A45" s="12"/>
      <c r="B45" s="380"/>
      <c r="C45" s="381"/>
      <c r="D45" s="75"/>
      <c r="E45" s="75"/>
      <c r="F45" s="75"/>
      <c r="G45" s="75"/>
      <c r="H45" s="74"/>
    </row>
    <row r="46" spans="1:10" x14ac:dyDescent="0.2">
      <c r="A46" s="12"/>
      <c r="B46" s="380"/>
      <c r="C46" s="381"/>
      <c r="D46" s="75" t="s">
        <v>116</v>
      </c>
      <c r="E46" s="75"/>
      <c r="F46" s="75"/>
      <c r="G46" s="75"/>
      <c r="H46" s="74"/>
    </row>
    <row r="47" spans="1:10" s="78" customFormat="1" x14ac:dyDescent="0.2">
      <c r="A47" s="12"/>
      <c r="B47" s="373"/>
      <c r="C47" s="374"/>
      <c r="D47" s="75"/>
      <c r="E47" s="75"/>
      <c r="F47" s="75"/>
      <c r="G47" s="75"/>
      <c r="H47" s="75"/>
      <c r="I47" s="75"/>
      <c r="J47" s="75"/>
    </row>
    <row r="48" spans="1:10" s="78" customFormat="1" x14ac:dyDescent="0.2">
      <c r="A48" s="12"/>
      <c r="B48" s="393"/>
      <c r="C48" s="394"/>
      <c r="D48" s="366"/>
      <c r="E48" s="366"/>
      <c r="F48" s="75"/>
      <c r="G48" s="75"/>
      <c r="H48" s="75"/>
      <c r="I48" s="75"/>
      <c r="J48" s="75"/>
    </row>
    <row r="49" spans="1:11" x14ac:dyDescent="0.2">
      <c r="A49" s="12"/>
      <c r="B49" s="405" t="s">
        <v>649</v>
      </c>
      <c r="C49" s="406" t="s">
        <v>650</v>
      </c>
      <c r="D49" s="407">
        <v>10</v>
      </c>
      <c r="E49" s="408"/>
      <c r="F49" s="61"/>
      <c r="G49" s="61"/>
      <c r="H49" s="61"/>
      <c r="I49" s="61"/>
      <c r="J49" s="61"/>
      <c r="K49" s="61"/>
    </row>
    <row r="50" spans="1:11" s="66" customFormat="1" ht="62.25" customHeight="1" x14ac:dyDescent="0.2">
      <c r="A50" s="12"/>
      <c r="B50" s="390">
        <v>10</v>
      </c>
      <c r="C50" s="397" t="s">
        <v>675</v>
      </c>
      <c r="D50" s="70"/>
      <c r="E50" s="399"/>
      <c r="G50" s="82"/>
    </row>
    <row r="51" spans="1:11" s="66" customFormat="1" x14ac:dyDescent="0.2">
      <c r="A51" s="12"/>
      <c r="B51" s="390">
        <v>30</v>
      </c>
      <c r="C51" s="397" t="s">
        <v>676</v>
      </c>
      <c r="D51" s="70"/>
      <c r="E51" s="399"/>
      <c r="G51" s="82"/>
    </row>
    <row r="52" spans="1:11" s="66" customFormat="1" x14ac:dyDescent="0.2">
      <c r="A52" s="12"/>
      <c r="B52" s="389">
        <v>50</v>
      </c>
      <c r="C52" s="397" t="s">
        <v>677</v>
      </c>
      <c r="D52" s="72"/>
      <c r="E52" s="72"/>
      <c r="G52" s="80"/>
    </row>
    <row r="53" spans="1:11" x14ac:dyDescent="0.2">
      <c r="A53" s="12"/>
      <c r="B53" s="390">
        <v>70</v>
      </c>
      <c r="C53" s="398" t="s">
        <v>678</v>
      </c>
      <c r="D53" s="387"/>
      <c r="E53" s="81"/>
      <c r="G53" s="74"/>
    </row>
    <row r="54" spans="1:11" x14ac:dyDescent="0.2">
      <c r="A54" s="12"/>
      <c r="B54" s="395">
        <v>90</v>
      </c>
      <c r="C54" s="396" t="s">
        <v>679</v>
      </c>
      <c r="D54" s="387"/>
      <c r="E54" s="81"/>
      <c r="G54" s="74"/>
    </row>
    <row r="55" spans="1:11" x14ac:dyDescent="0.2">
      <c r="A55" s="12"/>
      <c r="B55" s="395">
        <v>110</v>
      </c>
      <c r="C55" s="396" t="s">
        <v>680</v>
      </c>
      <c r="D55" s="387"/>
      <c r="E55" s="81"/>
      <c r="G55" s="74"/>
    </row>
    <row r="56" spans="1:11" x14ac:dyDescent="0.2">
      <c r="A56" s="12"/>
      <c r="B56" s="395">
        <v>130</v>
      </c>
      <c r="C56" s="396" t="s">
        <v>681</v>
      </c>
      <c r="D56" s="387"/>
      <c r="E56" s="81"/>
      <c r="G56" s="74"/>
    </row>
    <row r="57" spans="1:11" x14ac:dyDescent="0.2">
      <c r="A57" s="12"/>
      <c r="B57" s="395">
        <v>150</v>
      </c>
      <c r="C57" s="396" t="s">
        <v>682</v>
      </c>
      <c r="D57" s="387"/>
      <c r="E57" s="81"/>
      <c r="G57" s="74"/>
    </row>
    <row r="58" spans="1:11" x14ac:dyDescent="0.2">
      <c r="A58" s="12"/>
      <c r="B58" s="395">
        <v>170</v>
      </c>
      <c r="C58" s="396" t="s">
        <v>683</v>
      </c>
      <c r="D58" s="387"/>
      <c r="E58" s="81"/>
      <c r="G58" s="74"/>
    </row>
    <row r="59" spans="1:11" x14ac:dyDescent="0.2">
      <c r="A59" s="12"/>
      <c r="B59" s="83"/>
      <c r="C59" s="84"/>
    </row>
    <row r="60" spans="1:11" x14ac:dyDescent="0.2">
      <c r="A60" s="12"/>
      <c r="B60" s="12"/>
    </row>
    <row r="61" spans="1:11" x14ac:dyDescent="0.25">
      <c r="B61" s="85" t="s">
        <v>119</v>
      </c>
      <c r="D61" s="59" t="s">
        <v>120</v>
      </c>
      <c r="E61" s="59" t="s">
        <v>121</v>
      </c>
      <c r="K61" s="59" t="s">
        <v>122</v>
      </c>
    </row>
    <row r="62" spans="1:11" x14ac:dyDescent="0.2">
      <c r="A62" s="12"/>
    </row>
    <row r="63" spans="1:11" ht="11.25" customHeight="1" x14ac:dyDescent="0.2">
      <c r="A63" s="12"/>
      <c r="B63" s="476"/>
      <c r="C63" s="477"/>
      <c r="D63" s="477"/>
      <c r="E63" s="477"/>
      <c r="F63" s="477"/>
      <c r="G63" s="477"/>
      <c r="H63" s="477"/>
      <c r="I63" s="478"/>
    </row>
    <row r="64" spans="1:11" x14ac:dyDescent="0.2">
      <c r="A64" s="12"/>
      <c r="B64" s="479"/>
      <c r="C64" s="480"/>
      <c r="D64" s="480"/>
      <c r="E64" s="480"/>
      <c r="F64" s="480"/>
      <c r="G64" s="480"/>
      <c r="H64" s="480"/>
      <c r="I64" s="481"/>
    </row>
    <row r="65" spans="1:9" x14ac:dyDescent="0.2">
      <c r="A65" s="12"/>
      <c r="B65" s="479"/>
      <c r="C65" s="480"/>
      <c r="D65" s="480"/>
      <c r="E65" s="480"/>
      <c r="F65" s="480"/>
      <c r="G65" s="480"/>
      <c r="H65" s="480"/>
      <c r="I65" s="481"/>
    </row>
    <row r="66" spans="1:9" x14ac:dyDescent="0.2">
      <c r="A66" s="12"/>
      <c r="B66" s="479"/>
      <c r="C66" s="480"/>
      <c r="D66" s="480"/>
      <c r="E66" s="480"/>
      <c r="F66" s="480"/>
      <c r="G66" s="480"/>
      <c r="H66" s="480"/>
      <c r="I66" s="481"/>
    </row>
    <row r="67" spans="1:9" x14ac:dyDescent="0.2">
      <c r="A67" s="12"/>
      <c r="B67" s="479"/>
      <c r="C67" s="480"/>
      <c r="D67" s="480"/>
      <c r="E67" s="480"/>
      <c r="F67" s="480"/>
      <c r="G67" s="480"/>
      <c r="H67" s="480"/>
      <c r="I67" s="481"/>
    </row>
    <row r="68" spans="1:9" x14ac:dyDescent="0.25">
      <c r="B68" s="86"/>
      <c r="C68" s="87"/>
      <c r="D68" s="87"/>
      <c r="E68" s="87"/>
      <c r="F68" s="87"/>
      <c r="G68" s="87"/>
      <c r="H68" s="87"/>
      <c r="I68" s="88"/>
    </row>
    <row r="69" spans="1:9" x14ac:dyDescent="0.25">
      <c r="B69" s="488"/>
      <c r="C69" s="495"/>
      <c r="D69" s="495"/>
      <c r="E69" s="495"/>
      <c r="F69" s="495"/>
      <c r="G69" s="495"/>
      <c r="H69" s="495"/>
      <c r="I69" s="490"/>
    </row>
    <row r="70" spans="1:9" x14ac:dyDescent="0.25">
      <c r="B70" s="86"/>
      <c r="C70" s="89"/>
      <c r="D70" s="89"/>
      <c r="E70" s="89"/>
      <c r="F70" s="89"/>
      <c r="G70" s="89"/>
      <c r="H70" s="89"/>
      <c r="I70" s="90"/>
    </row>
    <row r="71" spans="1:9" x14ac:dyDescent="0.25">
      <c r="B71" s="91"/>
      <c r="C71" s="89"/>
      <c r="D71" s="89"/>
      <c r="E71" s="89"/>
      <c r="F71" s="89"/>
      <c r="G71" s="89"/>
      <c r="H71" s="89"/>
      <c r="I71" s="90"/>
    </row>
    <row r="72" spans="1:9" x14ac:dyDescent="0.25">
      <c r="B72" s="91"/>
      <c r="C72" s="89"/>
      <c r="D72" s="89"/>
      <c r="E72" s="89"/>
      <c r="F72" s="89"/>
      <c r="G72" s="89"/>
      <c r="H72" s="89"/>
      <c r="I72" s="90"/>
    </row>
    <row r="73" spans="1:9" x14ac:dyDescent="0.25">
      <c r="B73" s="488"/>
      <c r="C73" s="489"/>
      <c r="D73" s="489"/>
      <c r="E73" s="489"/>
      <c r="F73" s="489"/>
      <c r="G73" s="489"/>
      <c r="H73" s="489"/>
      <c r="I73" s="499"/>
    </row>
    <row r="74" spans="1:9" x14ac:dyDescent="0.25">
      <c r="A74" s="20"/>
      <c r="B74" s="466"/>
      <c r="C74" s="467"/>
      <c r="D74" s="467"/>
      <c r="E74" s="467"/>
      <c r="F74" s="467"/>
      <c r="G74" s="467"/>
      <c r="H74" s="467"/>
      <c r="I74" s="92"/>
    </row>
    <row r="75" spans="1:9" x14ac:dyDescent="0.25">
      <c r="A75" s="20"/>
      <c r="B75" s="488"/>
      <c r="C75" s="489"/>
      <c r="D75" s="489"/>
      <c r="E75" s="489"/>
      <c r="F75" s="489"/>
      <c r="G75" s="489"/>
      <c r="H75" s="489"/>
      <c r="I75" s="490"/>
    </row>
    <row r="76" spans="1:9" x14ac:dyDescent="0.2">
      <c r="A76" s="21"/>
      <c r="B76" s="488"/>
      <c r="C76" s="489"/>
      <c r="D76" s="489"/>
      <c r="E76" s="489"/>
      <c r="F76" s="489"/>
      <c r="G76" s="489"/>
      <c r="H76" s="489"/>
      <c r="I76" s="490"/>
    </row>
    <row r="77" spans="1:9" x14ac:dyDescent="0.2">
      <c r="A77" s="12"/>
      <c r="B77" s="466"/>
      <c r="C77" s="467"/>
      <c r="D77" s="467"/>
      <c r="E77" s="467"/>
      <c r="F77" s="467"/>
      <c r="G77" s="467"/>
      <c r="H77" s="467"/>
      <c r="I77" s="490"/>
    </row>
    <row r="78" spans="1:9" x14ac:dyDescent="0.2">
      <c r="A78" s="12"/>
      <c r="B78" s="466"/>
      <c r="C78" s="467"/>
      <c r="D78" s="467"/>
      <c r="E78" s="467"/>
      <c r="F78" s="467"/>
      <c r="G78" s="467"/>
      <c r="H78" s="467"/>
      <c r="I78" s="490"/>
    </row>
    <row r="79" spans="1:9" x14ac:dyDescent="0.2">
      <c r="A79" s="12"/>
      <c r="B79" s="491"/>
      <c r="C79" s="492"/>
      <c r="D79" s="492"/>
      <c r="E79" s="492"/>
      <c r="F79" s="492"/>
      <c r="G79" s="492"/>
      <c r="H79" s="492"/>
      <c r="I79" s="493"/>
    </row>
    <row r="80" spans="1:9" x14ac:dyDescent="0.2">
      <c r="A80" s="12"/>
      <c r="B80" s="494"/>
      <c r="C80" s="467"/>
      <c r="D80" s="467"/>
      <c r="E80" s="467"/>
      <c r="F80" s="467"/>
      <c r="G80" s="467"/>
      <c r="H80" s="467"/>
      <c r="I80" s="495"/>
    </row>
    <row r="81" spans="1:9" x14ac:dyDescent="0.2">
      <c r="A81" s="12"/>
      <c r="B81" s="494"/>
      <c r="C81" s="494"/>
      <c r="D81" s="494"/>
      <c r="E81" s="494"/>
      <c r="F81" s="494"/>
      <c r="G81" s="494"/>
      <c r="H81" s="494"/>
      <c r="I81" s="495"/>
    </row>
    <row r="82" spans="1:9" x14ac:dyDescent="0.2">
      <c r="A82" s="12"/>
      <c r="B82" s="494"/>
      <c r="C82" s="494"/>
      <c r="D82" s="494"/>
      <c r="E82" s="494"/>
      <c r="F82" s="494"/>
      <c r="G82" s="494"/>
      <c r="H82" s="494"/>
      <c r="I82" s="496"/>
    </row>
    <row r="83" spans="1:9" x14ac:dyDescent="0.2">
      <c r="A83" s="12"/>
      <c r="B83" s="497"/>
      <c r="C83" s="497"/>
      <c r="D83" s="497"/>
      <c r="E83" s="497"/>
      <c r="F83" s="497"/>
      <c r="G83" s="497"/>
      <c r="H83" s="497"/>
      <c r="I83" s="498"/>
    </row>
    <row r="84" spans="1:9" x14ac:dyDescent="0.2">
      <c r="A84" s="12"/>
      <c r="B84" s="497"/>
      <c r="C84" s="497"/>
      <c r="D84" s="497"/>
      <c r="E84" s="497"/>
      <c r="F84" s="497"/>
      <c r="G84" s="497"/>
      <c r="H84" s="497"/>
      <c r="I84" s="498"/>
    </row>
    <row r="85" spans="1:9" x14ac:dyDescent="0.2">
      <c r="A85" s="22"/>
      <c r="B85" s="486"/>
      <c r="C85" s="487"/>
      <c r="D85" s="487"/>
      <c r="E85" s="487"/>
      <c r="F85" s="487"/>
      <c r="G85" s="487"/>
      <c r="H85" s="487"/>
    </row>
    <row r="86" spans="1:9" x14ac:dyDescent="0.2">
      <c r="A86" s="22"/>
      <c r="B86" s="486"/>
      <c r="C86" s="487"/>
      <c r="D86" s="487"/>
      <c r="E86" s="487"/>
      <c r="F86" s="487"/>
      <c r="G86" s="487"/>
      <c r="H86" s="487"/>
    </row>
    <row r="87" spans="1:9" x14ac:dyDescent="0.2">
      <c r="A87" s="22"/>
      <c r="B87" s="486"/>
      <c r="C87" s="487"/>
      <c r="D87" s="487"/>
      <c r="E87" s="487"/>
      <c r="F87" s="487"/>
      <c r="G87" s="487"/>
      <c r="H87" s="487"/>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 ref="B74:H74"/>
    <mergeCell ref="B3:H3"/>
    <mergeCell ref="D9:E10"/>
    <mergeCell ref="F9:G10"/>
    <mergeCell ref="H9:I10"/>
    <mergeCell ref="B63:I67"/>
    <mergeCell ref="D11:F11"/>
    <mergeCell ref="G11:H11"/>
    <mergeCell ref="I11:K11"/>
    <mergeCell ref="J9:K10"/>
    <mergeCell ref="F28:G28"/>
    <mergeCell ref="F29:G29"/>
    <mergeCell ref="H29:H30"/>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C12" sqref="C12"/>
    </sheetView>
  </sheetViews>
  <sheetFormatPr defaultColWidth="11.42578125" defaultRowHeight="15" x14ac:dyDescent="0.25"/>
  <cols>
    <col min="1" max="1" width="2.7109375" style="23" customWidth="1"/>
    <col min="2" max="2" width="4.140625" style="3" customWidth="1"/>
    <col min="3" max="3" width="35.7109375" style="3" customWidth="1"/>
    <col min="4" max="8" width="11.5703125" style="3" bestFit="1" customWidth="1"/>
    <col min="9" max="9" width="12.140625" style="3" bestFit="1" customWidth="1"/>
    <col min="10"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2"/>
      <c r="C3" s="452"/>
      <c r="D3" s="452"/>
      <c r="E3" s="452"/>
      <c r="F3" s="452"/>
      <c r="G3" s="452"/>
      <c r="H3" s="452"/>
    </row>
    <row r="4" spans="1:11" s="10" customFormat="1" ht="5.0999999999999996" customHeight="1" x14ac:dyDescent="0.2">
      <c r="A4" s="7"/>
      <c r="B4" s="7"/>
      <c r="C4" s="7"/>
      <c r="D4" s="8"/>
      <c r="E4" s="8"/>
      <c r="F4" s="9"/>
      <c r="G4" s="9"/>
      <c r="H4" s="9"/>
      <c r="J4" s="7"/>
      <c r="K4" s="7"/>
    </row>
    <row r="5" spans="1:11" ht="18" x14ac:dyDescent="0.25">
      <c r="A5" s="13"/>
      <c r="B5" s="136" t="s">
        <v>133</v>
      </c>
    </row>
    <row r="6" spans="1:11" ht="11.25" customHeight="1" x14ac:dyDescent="0.25">
      <c r="A6" s="14"/>
      <c r="B6" s="101"/>
      <c r="C6" s="101"/>
      <c r="D6" s="101"/>
      <c r="E6" s="101"/>
      <c r="F6" s="101"/>
      <c r="G6" s="101"/>
      <c r="H6" s="101"/>
      <c r="I6" s="101"/>
    </row>
    <row r="7" spans="1:11" ht="11.25" customHeight="1" x14ac:dyDescent="0.25">
      <c r="A7" s="14"/>
      <c r="B7" s="500"/>
      <c r="C7" s="501"/>
      <c r="D7" s="504" t="s">
        <v>134</v>
      </c>
      <c r="E7" s="504"/>
      <c r="F7" s="504"/>
      <c r="G7" s="504"/>
      <c r="H7" s="504"/>
      <c r="I7" s="504"/>
    </row>
    <row r="8" spans="1:11" ht="22.5" x14ac:dyDescent="0.25">
      <c r="A8" s="12"/>
      <c r="B8" s="502"/>
      <c r="C8" s="503"/>
      <c r="D8" s="102" t="s">
        <v>135</v>
      </c>
      <c r="E8" s="102" t="s">
        <v>136</v>
      </c>
      <c r="F8" s="102" t="s">
        <v>137</v>
      </c>
      <c r="G8" s="102" t="s">
        <v>138</v>
      </c>
      <c r="H8" s="102" t="s">
        <v>139</v>
      </c>
      <c r="I8" s="102" t="s">
        <v>30</v>
      </c>
    </row>
    <row r="9" spans="1:11" ht="11.25" customHeight="1" x14ac:dyDescent="0.25">
      <c r="A9" s="12"/>
      <c r="B9" s="505" t="s">
        <v>22</v>
      </c>
      <c r="C9" s="506"/>
      <c r="D9" s="103"/>
      <c r="E9" s="103"/>
      <c r="F9" s="103"/>
      <c r="G9" s="103"/>
      <c r="H9" s="103"/>
      <c r="I9" s="103"/>
    </row>
    <row r="10" spans="1:11" ht="11.25" customHeight="1" x14ac:dyDescent="0.25">
      <c r="A10" s="12"/>
      <c r="B10" s="98">
        <v>1</v>
      </c>
      <c r="C10" s="97" t="s">
        <v>126</v>
      </c>
      <c r="D10" s="426">
        <f>'6'!B25</f>
        <v>1.2199E-2</v>
      </c>
      <c r="E10" s="104">
        <f>+'6'!C25</f>
        <v>164.53942155137167</v>
      </c>
      <c r="F10" s="104">
        <f>'6'!D25</f>
        <v>2839.2898277465679</v>
      </c>
      <c r="G10" s="104"/>
      <c r="H10" s="104">
        <v>5495.0786735842112</v>
      </c>
      <c r="I10" s="104">
        <f>SUM(D10:H10)</f>
        <v>8498.9201218821509</v>
      </c>
    </row>
    <row r="11" spans="1:11" ht="11.25" customHeight="1" x14ac:dyDescent="0.25">
      <c r="A11" s="12"/>
      <c r="B11" s="98">
        <v>2</v>
      </c>
      <c r="C11" s="97" t="s">
        <v>130</v>
      </c>
      <c r="D11" s="426">
        <f>'6'!B26</f>
        <v>26.119545116635003</v>
      </c>
      <c r="E11" s="104">
        <f>+'6'!C26</f>
        <v>47.537213988956999</v>
      </c>
      <c r="F11" s="104">
        <f>'6'!D26</f>
        <v>218.97428380710699</v>
      </c>
      <c r="G11" s="104">
        <f>'6'!E26</f>
        <v>0</v>
      </c>
      <c r="H11" s="104">
        <f>'6'!F26+'6'!F27+'6'!F24</f>
        <v>2932.4635600799984</v>
      </c>
      <c r="I11" s="104">
        <f>SUM(D11:H11)</f>
        <v>3225.0946029926972</v>
      </c>
    </row>
    <row r="12" spans="1:11" s="105" customFormat="1" ht="11.25" customHeight="1" x14ac:dyDescent="0.25">
      <c r="A12" s="12"/>
      <c r="B12" s="257">
        <v>17</v>
      </c>
      <c r="C12" s="258" t="s">
        <v>30</v>
      </c>
      <c r="D12" s="268">
        <f>SUM(D10:D11)</f>
        <v>26.131744116635002</v>
      </c>
      <c r="E12" s="268">
        <f t="shared" ref="E12:I12" si="0">SUM(E10:E11)</f>
        <v>212.07663554032868</v>
      </c>
      <c r="F12" s="268">
        <f t="shared" si="0"/>
        <v>3058.2641115536749</v>
      </c>
      <c r="G12" s="268">
        <f t="shared" si="0"/>
        <v>0</v>
      </c>
      <c r="H12" s="268">
        <f t="shared" si="0"/>
        <v>8427.5422336642096</v>
      </c>
      <c r="I12" s="268">
        <f t="shared" si="0"/>
        <v>11724.014724874847</v>
      </c>
    </row>
    <row r="13" spans="1:11" x14ac:dyDescent="0.25">
      <c r="A13" s="12"/>
      <c r="D13" s="106"/>
      <c r="E13" s="106"/>
      <c r="F13" s="106"/>
      <c r="G13" s="106"/>
      <c r="H13" s="106"/>
      <c r="I13" s="16"/>
    </row>
    <row r="14" spans="1:11" x14ac:dyDescent="0.25">
      <c r="A14" s="12"/>
    </row>
    <row r="15" spans="1:11" x14ac:dyDescent="0.25">
      <c r="A15" s="12"/>
    </row>
    <row r="16" spans="1: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6" spans="1:1" x14ac:dyDescent="0.25">
      <c r="A56" s="20"/>
    </row>
    <row r="57" spans="1:1" x14ac:dyDescent="0.25">
      <c r="A57" s="20"/>
    </row>
    <row r="58" spans="1:1" x14ac:dyDescent="0.25">
      <c r="A58" s="21"/>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E18" sqref="E18"/>
    </sheetView>
  </sheetViews>
  <sheetFormatPr defaultColWidth="11.42578125" defaultRowHeight="15" x14ac:dyDescent="0.25"/>
  <cols>
    <col min="1" max="1" width="2.7109375" style="23" customWidth="1"/>
    <col min="2" max="2" width="4.140625" style="3" customWidth="1"/>
    <col min="3" max="3" width="35.7109375" style="3" customWidth="1"/>
    <col min="4" max="4" width="11.5703125" style="3" bestFit="1" customWidth="1"/>
    <col min="5" max="5" width="12.140625" style="3" bestFit="1" customWidth="1"/>
    <col min="6" max="10" width="12.140625" style="3" customWidth="1"/>
    <col min="11"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2"/>
      <c r="C3" s="452"/>
      <c r="D3" s="452"/>
      <c r="E3" s="452"/>
      <c r="F3" s="452"/>
      <c r="G3" s="452"/>
      <c r="H3" s="452"/>
    </row>
    <row r="4" spans="1:11" s="10" customFormat="1" ht="5.0999999999999996" customHeight="1" x14ac:dyDescent="0.2">
      <c r="A4" s="7"/>
      <c r="B4" s="7"/>
      <c r="C4" s="7"/>
      <c r="D4" s="8"/>
      <c r="E4" s="8"/>
      <c r="F4" s="9"/>
      <c r="G4" s="9"/>
      <c r="H4" s="9"/>
      <c r="J4" s="7"/>
      <c r="K4" s="7"/>
    </row>
    <row r="5" spans="1:11" ht="18" x14ac:dyDescent="0.25">
      <c r="A5" s="13"/>
      <c r="B5" s="136" t="s">
        <v>140</v>
      </c>
    </row>
    <row r="6" spans="1:11" ht="11.25" customHeight="1" x14ac:dyDescent="0.25">
      <c r="A6" s="14"/>
      <c r="B6" s="16"/>
      <c r="C6" s="16"/>
      <c r="D6" s="16"/>
      <c r="E6" s="16"/>
      <c r="F6" s="16"/>
      <c r="G6" s="16"/>
      <c r="H6" s="16"/>
      <c r="I6" s="16"/>
      <c r="J6" s="16"/>
    </row>
    <row r="7" spans="1:11" ht="11.25" customHeight="1" x14ac:dyDescent="0.25">
      <c r="A7" s="14"/>
      <c r="B7" s="107"/>
      <c r="C7" s="108"/>
      <c r="D7" s="109" t="s">
        <v>23</v>
      </c>
      <c r="E7" s="110" t="s">
        <v>24</v>
      </c>
      <c r="F7" s="110" t="s">
        <v>25</v>
      </c>
      <c r="G7" s="110" t="s">
        <v>26</v>
      </c>
      <c r="H7" s="110" t="s">
        <v>27</v>
      </c>
      <c r="I7" s="110" t="s">
        <v>141</v>
      </c>
      <c r="J7" s="111" t="s">
        <v>142</v>
      </c>
    </row>
    <row r="8" spans="1:11" ht="11.25" customHeight="1" x14ac:dyDescent="0.25">
      <c r="A8" s="12"/>
      <c r="B8" s="107"/>
      <c r="C8" s="108"/>
      <c r="D8" s="509" t="s">
        <v>143</v>
      </c>
      <c r="E8" s="510"/>
      <c r="F8" s="511" t="s">
        <v>144</v>
      </c>
      <c r="G8" s="511" t="s">
        <v>145</v>
      </c>
      <c r="H8" s="511" t="s">
        <v>146</v>
      </c>
      <c r="I8" s="511" t="s">
        <v>147</v>
      </c>
      <c r="J8" s="112" t="s">
        <v>132</v>
      </c>
    </row>
    <row r="9" spans="1:11" ht="24" customHeight="1" x14ac:dyDescent="0.25">
      <c r="A9" s="12"/>
      <c r="B9" s="113"/>
      <c r="C9" s="114"/>
      <c r="D9" s="513" t="s">
        <v>148</v>
      </c>
      <c r="E9" s="515" t="s">
        <v>149</v>
      </c>
      <c r="F9" s="512"/>
      <c r="G9" s="512"/>
      <c r="H9" s="512"/>
      <c r="I9" s="512"/>
      <c r="J9" s="507" t="s">
        <v>511</v>
      </c>
    </row>
    <row r="10" spans="1:11" ht="11.25" customHeight="1" x14ac:dyDescent="0.25">
      <c r="A10" s="12"/>
      <c r="B10" s="505" t="s">
        <v>22</v>
      </c>
      <c r="C10" s="506"/>
      <c r="D10" s="514"/>
      <c r="E10" s="516"/>
      <c r="F10" s="512"/>
      <c r="G10" s="512"/>
      <c r="H10" s="512"/>
      <c r="I10" s="512"/>
      <c r="J10" s="508"/>
    </row>
    <row r="11" spans="1:11" ht="11.25" customHeight="1" x14ac:dyDescent="0.25">
      <c r="A11" s="12"/>
      <c r="B11" s="98"/>
      <c r="C11" s="96" t="s">
        <v>537</v>
      </c>
      <c r="D11" s="104"/>
      <c r="E11" s="104">
        <v>1608.7639999999999</v>
      </c>
      <c r="F11" s="104"/>
      <c r="G11" s="104"/>
      <c r="H11" s="104"/>
      <c r="I11" s="104"/>
      <c r="J11" s="104">
        <f>D11+E11</f>
        <v>1608.7639999999999</v>
      </c>
    </row>
    <row r="12" spans="1:11" ht="11.25" customHeight="1" x14ac:dyDescent="0.25">
      <c r="A12" s="12"/>
      <c r="B12" s="98"/>
      <c r="C12" s="96" t="s">
        <v>538</v>
      </c>
      <c r="D12" s="104"/>
      <c r="E12" s="104"/>
      <c r="F12" s="104"/>
      <c r="G12" s="104"/>
      <c r="H12" s="104"/>
      <c r="I12" s="104"/>
      <c r="J12" s="104">
        <f t="shared" ref="J12:J18" si="0">D12+E12</f>
        <v>0</v>
      </c>
    </row>
    <row r="13" spans="1:11" ht="11.25" customHeight="1" x14ac:dyDescent="0.25">
      <c r="A13" s="12"/>
      <c r="B13" s="98"/>
      <c r="C13" s="96" t="s">
        <v>128</v>
      </c>
      <c r="D13" s="104"/>
      <c r="E13" s="104">
        <v>1204.1880000000001</v>
      </c>
      <c r="F13" s="104"/>
      <c r="G13" s="104"/>
      <c r="H13" s="104"/>
      <c r="I13" s="104"/>
      <c r="J13" s="104">
        <f t="shared" si="0"/>
        <v>1204.1880000000001</v>
      </c>
    </row>
    <row r="14" spans="1:11" ht="11.25" customHeight="1" x14ac:dyDescent="0.25">
      <c r="A14" s="12"/>
      <c r="B14" s="98"/>
      <c r="C14" s="96" t="s">
        <v>126</v>
      </c>
      <c r="D14" s="104">
        <v>-1145.7873999999999</v>
      </c>
      <c r="E14" s="104">
        <f>9506.948+E21</f>
        <v>12628.648000000001</v>
      </c>
      <c r="F14" s="104"/>
      <c r="G14" s="104"/>
      <c r="H14" s="104"/>
      <c r="I14" s="104"/>
      <c r="J14" s="104">
        <f t="shared" si="0"/>
        <v>11482.860600000002</v>
      </c>
    </row>
    <row r="15" spans="1:11" ht="11.25" customHeight="1" x14ac:dyDescent="0.25">
      <c r="A15" s="12"/>
      <c r="B15" s="98"/>
      <c r="C15" s="96" t="s">
        <v>472</v>
      </c>
      <c r="D15" s="104"/>
      <c r="E15" s="104">
        <f>1848-E11</f>
        <v>239.2360000000001</v>
      </c>
      <c r="F15" s="104"/>
      <c r="G15" s="104"/>
      <c r="H15" s="104"/>
      <c r="I15" s="104"/>
      <c r="J15" s="104">
        <f t="shared" si="0"/>
        <v>239.2360000000001</v>
      </c>
    </row>
    <row r="16" spans="1:11" ht="11.25" customHeight="1" x14ac:dyDescent="0.25">
      <c r="A16" s="12"/>
      <c r="B16" s="98"/>
      <c r="C16" s="96" t="s">
        <v>130</v>
      </c>
      <c r="D16" s="104"/>
      <c r="E16" s="104">
        <v>18.68</v>
      </c>
      <c r="F16" s="104"/>
      <c r="G16" s="104"/>
      <c r="H16" s="104"/>
      <c r="I16" s="104"/>
      <c r="J16" s="104">
        <f t="shared" si="0"/>
        <v>18.68</v>
      </c>
    </row>
    <row r="17" spans="1:10" s="105" customFormat="1" ht="11.25" customHeight="1" x14ac:dyDescent="0.25">
      <c r="A17" s="12"/>
      <c r="B17" s="115"/>
      <c r="C17" s="131" t="s">
        <v>131</v>
      </c>
      <c r="D17" s="268">
        <f>SUM(D14:D16)</f>
        <v>-1145.7873999999999</v>
      </c>
      <c r="E17" s="268">
        <f>SUM(E11:E16)</f>
        <v>15699.516000000003</v>
      </c>
      <c r="F17" s="268"/>
      <c r="G17" s="268"/>
      <c r="H17" s="268"/>
      <c r="I17" s="268"/>
      <c r="J17" s="104">
        <f t="shared" si="0"/>
        <v>14553.728600000004</v>
      </c>
    </row>
    <row r="18" spans="1:10" s="105" customFormat="1" ht="11.25" customHeight="1" x14ac:dyDescent="0.25">
      <c r="A18" s="12"/>
      <c r="B18" s="115"/>
      <c r="C18" s="131" t="s">
        <v>30</v>
      </c>
      <c r="D18" s="268">
        <f>D17</f>
        <v>-1145.7873999999999</v>
      </c>
      <c r="E18" s="268">
        <f>E17</f>
        <v>15699.516000000003</v>
      </c>
      <c r="F18" s="268"/>
      <c r="G18" s="268"/>
      <c r="H18" s="268"/>
      <c r="I18" s="268"/>
      <c r="J18" s="104">
        <f t="shared" si="0"/>
        <v>14553.728600000004</v>
      </c>
    </row>
    <row r="19" spans="1:10" ht="11.25" customHeight="1" x14ac:dyDescent="0.25">
      <c r="A19" s="12"/>
      <c r="B19" s="116"/>
      <c r="C19" s="94" t="s">
        <v>150</v>
      </c>
      <c r="D19" s="104"/>
      <c r="E19" s="104"/>
      <c r="F19" s="104"/>
      <c r="G19" s="104"/>
      <c r="H19" s="104"/>
      <c r="I19" s="104"/>
      <c r="J19" s="104">
        <v>0</v>
      </c>
    </row>
    <row r="20" spans="1:10" ht="11.25" customHeight="1" x14ac:dyDescent="0.25">
      <c r="A20" s="12"/>
      <c r="B20" s="116"/>
      <c r="C20" s="95" t="s">
        <v>151</v>
      </c>
      <c r="D20" s="104"/>
      <c r="E20" s="104"/>
      <c r="F20" s="104"/>
      <c r="G20" s="104"/>
      <c r="H20" s="104"/>
      <c r="I20" s="104"/>
      <c r="J20" s="104"/>
    </row>
    <row r="21" spans="1:10" ht="11.25" customHeight="1" x14ac:dyDescent="0.25">
      <c r="A21" s="12"/>
      <c r="B21" s="116"/>
      <c r="C21" s="95" t="s">
        <v>152</v>
      </c>
      <c r="D21" s="104"/>
      <c r="E21" s="104">
        <v>3121.7</v>
      </c>
      <c r="F21" s="104"/>
      <c r="G21" s="104"/>
      <c r="H21" s="104"/>
      <c r="I21" s="104"/>
      <c r="J21" s="104"/>
    </row>
    <row r="22" spans="1:10" ht="11.25" customHeight="1" x14ac:dyDescent="0.25">
      <c r="A22" s="12"/>
    </row>
    <row r="23" spans="1:10" ht="11.25" customHeight="1" x14ac:dyDescent="0.25">
      <c r="A23" s="12"/>
      <c r="E23" s="117"/>
    </row>
    <row r="24" spans="1:10" ht="11.25" customHeight="1" x14ac:dyDescent="0.25">
      <c r="A24" s="12"/>
    </row>
    <row r="25" spans="1:10" ht="11.25" customHeight="1" x14ac:dyDescent="0.25">
      <c r="A25" s="12"/>
    </row>
    <row r="26" spans="1:10" ht="11.25" customHeight="1" x14ac:dyDescent="0.25">
      <c r="A26" s="12"/>
    </row>
    <row r="27" spans="1:10" ht="11.25" customHeight="1" x14ac:dyDescent="0.25">
      <c r="A27" s="12"/>
    </row>
    <row r="28" spans="1:10" ht="11.25" customHeight="1" x14ac:dyDescent="0.25">
      <c r="A28" s="12"/>
    </row>
    <row r="29" spans="1:10" ht="11.25" customHeight="1" x14ac:dyDescent="0.25">
      <c r="A29" s="12"/>
    </row>
    <row r="30" spans="1:10" ht="11.25" customHeight="1" x14ac:dyDescent="0.25">
      <c r="A30" s="12"/>
    </row>
    <row r="31" spans="1:10" ht="11.25" customHeight="1" x14ac:dyDescent="0.25">
      <c r="A31" s="12"/>
    </row>
    <row r="32" spans="1:10"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ht="11.25" customHeight="1" x14ac:dyDescent="0.25">
      <c r="A37" s="12"/>
    </row>
    <row r="38" spans="1:1" ht="11.25" customHeight="1" x14ac:dyDescent="0.25">
      <c r="A38" s="12"/>
    </row>
    <row r="39" spans="1:1" ht="11.25" customHeight="1" x14ac:dyDescent="0.25">
      <c r="A39" s="12"/>
    </row>
    <row r="40" spans="1:1" ht="11.25" customHeight="1" x14ac:dyDescent="0.25">
      <c r="A40" s="12"/>
    </row>
    <row r="41" spans="1:1" ht="11.25" customHeight="1" x14ac:dyDescent="0.25">
      <c r="A41" s="12"/>
    </row>
    <row r="42" spans="1:1" ht="11.25" customHeight="1" x14ac:dyDescent="0.25">
      <c r="A42" s="12"/>
    </row>
    <row r="43" spans="1:1" ht="11.25" customHeight="1" x14ac:dyDescent="0.25">
      <c r="A43" s="12"/>
    </row>
    <row r="44" spans="1:1" ht="11.25" customHeight="1" x14ac:dyDescent="0.25">
      <c r="A44" s="12"/>
    </row>
    <row r="45" spans="1:1" ht="11.25" customHeight="1" x14ac:dyDescent="0.25">
      <c r="A45" s="12"/>
    </row>
    <row r="46" spans="1:1" ht="11.25" customHeight="1" x14ac:dyDescent="0.25">
      <c r="A46" s="12"/>
    </row>
    <row r="47" spans="1:1" ht="11.25" customHeight="1" x14ac:dyDescent="0.25">
      <c r="A47" s="12"/>
    </row>
    <row r="48" spans="1:1" ht="11.25" customHeight="1" x14ac:dyDescent="0.25">
      <c r="A48" s="12"/>
    </row>
    <row r="49" spans="1:1" ht="11.25" customHeight="1" x14ac:dyDescent="0.25">
      <c r="A49" s="12"/>
    </row>
    <row r="50" spans="1:1" ht="11.25" customHeight="1" x14ac:dyDescent="0.25">
      <c r="A50" s="12"/>
    </row>
    <row r="51" spans="1:1" ht="11.25" customHeight="1" x14ac:dyDescent="0.25">
      <c r="A51" s="12"/>
    </row>
    <row r="52" spans="1:1" ht="11.25" customHeight="1" x14ac:dyDescent="0.25">
      <c r="A52" s="12"/>
    </row>
    <row r="53" spans="1:1" ht="11.25" customHeight="1" x14ac:dyDescent="0.25">
      <c r="A53" s="12"/>
    </row>
    <row r="54" spans="1:1" ht="11.25" customHeight="1" x14ac:dyDescent="0.25">
      <c r="A54" s="12"/>
    </row>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c r="A61" s="20"/>
    </row>
    <row r="62" spans="1:1" ht="11.25" customHeight="1" x14ac:dyDescent="0.25">
      <c r="A62" s="20"/>
    </row>
    <row r="63" spans="1:1" ht="11.25" customHeight="1" x14ac:dyDescent="0.25">
      <c r="A63" s="21"/>
    </row>
    <row r="64" spans="1:1" ht="11.25" customHeight="1" x14ac:dyDescent="0.25">
      <c r="A64" s="12"/>
    </row>
    <row r="65" spans="1:1" ht="11.25" customHeight="1" x14ac:dyDescent="0.25">
      <c r="A65" s="12"/>
    </row>
    <row r="66" spans="1:1" ht="11.25" customHeight="1" x14ac:dyDescent="0.25">
      <c r="A66" s="12"/>
    </row>
    <row r="67" spans="1:1" ht="11.25" customHeight="1" x14ac:dyDescent="0.25">
      <c r="A67" s="12"/>
    </row>
    <row r="68" spans="1:1" ht="11.25" customHeight="1" x14ac:dyDescent="0.25">
      <c r="A68" s="12"/>
    </row>
    <row r="69" spans="1:1" ht="11.25" customHeight="1" x14ac:dyDescent="0.25">
      <c r="A69" s="12"/>
    </row>
    <row r="70" spans="1:1" ht="11.25" customHeight="1" x14ac:dyDescent="0.25">
      <c r="A70" s="12"/>
    </row>
    <row r="71" spans="1:1" x14ac:dyDescent="0.25">
      <c r="A71" s="1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D14" sqref="D14"/>
    </sheetView>
  </sheetViews>
  <sheetFormatPr defaultColWidth="11.42578125" defaultRowHeight="15" x14ac:dyDescent="0.25"/>
  <cols>
    <col min="1" max="1" width="2.7109375" style="23" customWidth="1"/>
    <col min="2" max="2" width="21.28515625" style="3" customWidth="1"/>
    <col min="3" max="9" width="12.140625" style="3" customWidth="1"/>
    <col min="10" max="16384" width="11.42578125" style="3"/>
  </cols>
  <sheetData>
    <row r="1" spans="1:12" s="10" customFormat="1" ht="11.25" customHeight="1" x14ac:dyDescent="0.2">
      <c r="A1" s="7"/>
      <c r="B1" s="7"/>
      <c r="C1" s="7"/>
      <c r="D1" s="8"/>
      <c r="E1" s="8"/>
      <c r="F1" s="9"/>
      <c r="G1" s="9"/>
      <c r="H1" s="9"/>
    </row>
    <row r="2" spans="1:12" s="10" customFormat="1" ht="5.25" customHeight="1" x14ac:dyDescent="0.2">
      <c r="A2" s="7"/>
      <c r="B2" s="7"/>
      <c r="C2" s="7"/>
      <c r="D2" s="8"/>
      <c r="E2" s="8"/>
      <c r="F2" s="9"/>
      <c r="G2" s="9"/>
      <c r="H2" s="9"/>
    </row>
    <row r="3" spans="1:12" s="12" customFormat="1" ht="12.75" customHeight="1" x14ac:dyDescent="0.2">
      <c r="A3" s="11"/>
      <c r="B3" s="452"/>
      <c r="C3" s="452"/>
      <c r="D3" s="452"/>
      <c r="E3" s="452"/>
      <c r="F3" s="452"/>
      <c r="G3" s="452"/>
      <c r="H3" s="452"/>
    </row>
    <row r="4" spans="1:12" s="10" customFormat="1" ht="5.0999999999999996" customHeight="1" x14ac:dyDescent="0.2">
      <c r="A4" s="7"/>
      <c r="B4" s="7"/>
      <c r="C4" s="7"/>
      <c r="D4" s="8"/>
      <c r="E4" s="8"/>
      <c r="F4" s="9"/>
      <c r="G4" s="9"/>
      <c r="H4" s="9"/>
      <c r="J4" s="7"/>
      <c r="K4" s="7"/>
    </row>
    <row r="5" spans="1:12" ht="18" x14ac:dyDescent="0.25">
      <c r="A5" s="13"/>
      <c r="B5" s="136" t="s">
        <v>154</v>
      </c>
    </row>
    <row r="6" spans="1:12" ht="11.25" customHeight="1" x14ac:dyDescent="0.25">
      <c r="A6" s="14"/>
      <c r="B6" s="16"/>
      <c r="C6" s="16"/>
      <c r="D6" s="16"/>
      <c r="E6" s="16"/>
      <c r="F6" s="16"/>
      <c r="G6" s="16"/>
      <c r="H6" s="16"/>
      <c r="I6" s="16"/>
    </row>
    <row r="7" spans="1:12" ht="11.25" customHeight="1" x14ac:dyDescent="0.25">
      <c r="A7" s="14"/>
      <c r="B7" s="108"/>
      <c r="C7" s="37" t="s">
        <v>23</v>
      </c>
      <c r="D7" s="37" t="s">
        <v>24</v>
      </c>
      <c r="E7" s="37" t="s">
        <v>25</v>
      </c>
      <c r="F7" s="37" t="s">
        <v>26</v>
      </c>
      <c r="G7" s="37" t="s">
        <v>27</v>
      </c>
      <c r="H7" s="37" t="s">
        <v>141</v>
      </c>
      <c r="I7" s="37" t="s">
        <v>142</v>
      </c>
    </row>
    <row r="8" spans="1:12" ht="24.75" customHeight="1" x14ac:dyDescent="0.25">
      <c r="A8" s="12"/>
      <c r="B8" s="108"/>
      <c r="C8" s="518" t="s">
        <v>143</v>
      </c>
      <c r="D8" s="519"/>
      <c r="E8" s="517" t="s">
        <v>144</v>
      </c>
      <c r="F8" s="517" t="s">
        <v>145</v>
      </c>
      <c r="G8" s="520" t="s">
        <v>146</v>
      </c>
      <c r="H8" s="517" t="s">
        <v>153</v>
      </c>
      <c r="I8" s="102" t="s">
        <v>132</v>
      </c>
    </row>
    <row r="9" spans="1:12" ht="13.5" customHeight="1" x14ac:dyDescent="0.25">
      <c r="A9" s="12"/>
      <c r="B9" s="118"/>
      <c r="C9" s="520" t="s">
        <v>148</v>
      </c>
      <c r="D9" s="520" t="s">
        <v>149</v>
      </c>
      <c r="E9" s="517"/>
      <c r="F9" s="517"/>
      <c r="G9" s="521"/>
      <c r="H9" s="517"/>
      <c r="I9" s="517" t="s">
        <v>510</v>
      </c>
      <c r="K9" s="121"/>
    </row>
    <row r="10" spans="1:12" ht="23.25" customHeight="1" x14ac:dyDescent="0.25">
      <c r="A10" s="12"/>
      <c r="B10" s="122" t="s">
        <v>22</v>
      </c>
      <c r="C10" s="522"/>
      <c r="D10" s="522"/>
      <c r="E10" s="517"/>
      <c r="F10" s="517"/>
      <c r="G10" s="522"/>
      <c r="H10" s="517"/>
      <c r="I10" s="517"/>
      <c r="K10" s="121"/>
    </row>
    <row r="11" spans="1:12" ht="11.25" customHeight="1" x14ac:dyDescent="0.25">
      <c r="A11" s="12"/>
      <c r="B11" s="123" t="s">
        <v>28</v>
      </c>
      <c r="C11" s="119">
        <f>'[4]2. Development'!$AW$65+'[4]2. Development'!$AW$68+'[4]2. Development'!$AW$71</f>
        <v>-460.7284087268157</v>
      </c>
      <c r="D11" s="119">
        <v>4667.1504997300008</v>
      </c>
      <c r="E11" s="119"/>
      <c r="F11" s="119"/>
      <c r="G11" s="119"/>
      <c r="H11" s="119"/>
      <c r="I11" s="119">
        <f>C11+D11</f>
        <v>4206.4220910031854</v>
      </c>
      <c r="J11" s="124"/>
    </row>
    <row r="12" spans="1:12" ht="11.25" customHeight="1" x14ac:dyDescent="0.25">
      <c r="A12" s="12"/>
      <c r="B12" s="125" t="s">
        <v>29</v>
      </c>
      <c r="C12" s="119">
        <f>'[4]2. Development'!$AW$67+'[4]2. Development'!$AW$69+'[4]2. Development'!$AW$72</f>
        <v>-274.86198745207781</v>
      </c>
      <c r="D12" s="119">
        <v>1936.2751244599999</v>
      </c>
      <c r="E12" s="119"/>
      <c r="F12" s="119"/>
      <c r="G12" s="119"/>
      <c r="H12" s="119"/>
      <c r="I12" s="119">
        <f t="shared" ref="I12:I13" si="0">C12+D12</f>
        <v>1661.4131370079222</v>
      </c>
      <c r="J12" s="124"/>
    </row>
    <row r="13" spans="1:12" x14ac:dyDescent="0.25">
      <c r="A13" s="12"/>
      <c r="B13" s="125" t="s">
        <v>516</v>
      </c>
      <c r="C13" s="119">
        <f>'[4]2. Development'!$AW$66+'[4]2. Development'!$AW$70</f>
        <v>-410.19372219110664</v>
      </c>
      <c r="D13" s="119">
        <v>2903.5040658000003</v>
      </c>
      <c r="E13" s="119"/>
      <c r="F13" s="119"/>
      <c r="G13" s="119"/>
      <c r="H13" s="119"/>
      <c r="I13" s="119">
        <f t="shared" si="0"/>
        <v>2493.3103436088936</v>
      </c>
      <c r="J13" s="124"/>
    </row>
    <row r="14" spans="1:12" s="105" customFormat="1" ht="11.25" customHeight="1" x14ac:dyDescent="0.25">
      <c r="A14" s="12"/>
      <c r="B14" s="269" t="s">
        <v>30</v>
      </c>
      <c r="C14" s="270">
        <f>SUM(C11:C13)</f>
        <v>-1145.7841183700002</v>
      </c>
      <c r="D14" s="270">
        <f>SUM(D11:D13)</f>
        <v>9506.92968999</v>
      </c>
      <c r="E14" s="270"/>
      <c r="F14" s="270"/>
      <c r="G14" s="270"/>
      <c r="H14" s="270"/>
      <c r="I14" s="119">
        <f>C14+D14</f>
        <v>8361.1455716199998</v>
      </c>
      <c r="J14" s="124"/>
    </row>
    <row r="15" spans="1:12" ht="11.25" customHeight="1" x14ac:dyDescent="0.25">
      <c r="A15" s="12"/>
      <c r="K15" s="121"/>
    </row>
    <row r="16" spans="1:12" ht="11.25" customHeight="1" x14ac:dyDescent="0.25">
      <c r="A16" s="12"/>
      <c r="K16" s="121"/>
      <c r="L16" s="409"/>
    </row>
    <row r="17" spans="1:11" ht="11.25" customHeight="1" x14ac:dyDescent="0.25">
      <c r="A17" s="12"/>
      <c r="K17" s="121"/>
    </row>
    <row r="18" spans="1:11" ht="11.25" customHeight="1" x14ac:dyDescent="0.25">
      <c r="A18" s="12"/>
      <c r="K18" s="121"/>
    </row>
    <row r="19" spans="1:11" ht="11.25" customHeight="1" x14ac:dyDescent="0.25">
      <c r="A19" s="12"/>
    </row>
    <row r="20" spans="1:11" ht="11.25" customHeight="1" x14ac:dyDescent="0.25">
      <c r="A20" s="12"/>
    </row>
    <row r="21" spans="1:11" ht="11.25" customHeight="1" x14ac:dyDescent="0.25">
      <c r="A21" s="12"/>
      <c r="J21" s="422"/>
      <c r="K21" s="120"/>
    </row>
    <row r="22" spans="1:11" ht="11.25" customHeight="1" x14ac:dyDescent="0.25">
      <c r="A22" s="12"/>
      <c r="J22" s="422"/>
      <c r="K22" s="120"/>
    </row>
    <row r="23" spans="1:11" ht="11.25" customHeight="1" x14ac:dyDescent="0.25">
      <c r="A23" s="12"/>
      <c r="J23" s="422"/>
      <c r="K23" s="120"/>
    </row>
    <row r="24" spans="1:11" ht="11.25" customHeight="1" x14ac:dyDescent="0.25">
      <c r="A24" s="12"/>
      <c r="J24" s="422"/>
      <c r="K24" s="120"/>
    </row>
    <row r="25" spans="1:11" ht="11.25" customHeight="1" x14ac:dyDescent="0.25">
      <c r="A25" s="12"/>
    </row>
    <row r="26" spans="1:11" ht="11.25" customHeight="1" x14ac:dyDescent="0.25">
      <c r="A26" s="12"/>
    </row>
    <row r="27" spans="1:11" ht="11.25" customHeight="1" x14ac:dyDescent="0.25">
      <c r="A27" s="12"/>
    </row>
    <row r="28" spans="1:11" ht="11.25" customHeight="1" x14ac:dyDescent="0.25">
      <c r="A28" s="12"/>
    </row>
    <row r="29" spans="1:11" ht="11.25" customHeight="1" x14ac:dyDescent="0.25">
      <c r="A29" s="12"/>
    </row>
    <row r="30" spans="1:11" ht="11.25" customHeight="1" x14ac:dyDescent="0.25">
      <c r="A30" s="12"/>
    </row>
    <row r="31" spans="1:11" ht="11.25" customHeight="1" x14ac:dyDescent="0.25">
      <c r="A31" s="12"/>
    </row>
    <row r="32" spans="1:11"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62" spans="1:1" x14ac:dyDescent="0.25">
      <c r="A62" s="20"/>
    </row>
    <row r="63" spans="1:1" x14ac:dyDescent="0.25">
      <c r="A63" s="20"/>
    </row>
    <row r="64" spans="1:1" x14ac:dyDescent="0.25">
      <c r="A64" s="21"/>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J16" sqref="J16"/>
    </sheetView>
  </sheetViews>
  <sheetFormatPr defaultColWidth="11.42578125" defaultRowHeight="11.25" x14ac:dyDescent="0.2"/>
  <cols>
    <col min="1" max="1" width="2.7109375" style="23" customWidth="1"/>
    <col min="2" max="2" width="4.140625" style="16" customWidth="1"/>
    <col min="3" max="3" width="21.28515625" style="16" customWidth="1"/>
    <col min="4" max="9" width="11.42578125" style="16" customWidth="1"/>
    <col min="10" max="11" width="11.42578125" style="16"/>
    <col min="12" max="13" width="16.140625" style="16" bestFit="1" customWidth="1"/>
    <col min="14" max="14" width="14.42578125" style="16" bestFit="1" customWidth="1"/>
    <col min="15" max="17" width="16.140625" style="16" bestFit="1" customWidth="1"/>
    <col min="18"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2"/>
      <c r="C3" s="452"/>
      <c r="D3" s="452"/>
      <c r="E3" s="452"/>
      <c r="F3" s="452"/>
      <c r="G3" s="452"/>
      <c r="H3" s="452"/>
    </row>
    <row r="4" spans="1:11" s="10" customFormat="1" ht="5.0999999999999996" customHeight="1" x14ac:dyDescent="0.2">
      <c r="A4" s="7"/>
      <c r="B4" s="7"/>
      <c r="C4" s="7"/>
      <c r="D4" s="8"/>
      <c r="E4" s="8"/>
      <c r="F4" s="9"/>
      <c r="G4" s="9"/>
      <c r="H4" s="9"/>
      <c r="J4" s="7"/>
      <c r="K4" s="7"/>
    </row>
    <row r="5" spans="1:11" s="3" customFormat="1" ht="18" x14ac:dyDescent="0.25">
      <c r="A5" s="13"/>
      <c r="B5" s="136" t="s">
        <v>155</v>
      </c>
    </row>
    <row r="6" spans="1:11" x14ac:dyDescent="0.2">
      <c r="A6" s="12"/>
    </row>
    <row r="7" spans="1:11" x14ac:dyDescent="0.2">
      <c r="A7" s="12"/>
      <c r="B7" s="459" t="s">
        <v>22</v>
      </c>
      <c r="C7" s="523"/>
      <c r="D7" s="47" t="s">
        <v>23</v>
      </c>
      <c r="E7" s="47" t="s">
        <v>24</v>
      </c>
      <c r="F7" s="47" t="s">
        <v>25</v>
      </c>
      <c r="G7" s="47" t="s">
        <v>26</v>
      </c>
      <c r="H7" s="413"/>
      <c r="I7" s="413"/>
    </row>
    <row r="8" spans="1:11" ht="11.25" customHeight="1" x14ac:dyDescent="0.2">
      <c r="A8" s="12"/>
      <c r="B8" s="524"/>
      <c r="C8" s="525"/>
      <c r="D8" s="528" t="s">
        <v>156</v>
      </c>
      <c r="E8" s="529"/>
      <c r="F8" s="529"/>
      <c r="G8" s="530"/>
      <c r="H8" s="415"/>
      <c r="I8" s="415"/>
    </row>
    <row r="9" spans="1:11" ht="22.5" x14ac:dyDescent="0.2">
      <c r="A9" s="12"/>
      <c r="B9" s="526"/>
      <c r="C9" s="527"/>
      <c r="D9" s="414" t="s">
        <v>157</v>
      </c>
      <c r="E9" s="414" t="s">
        <v>158</v>
      </c>
      <c r="F9" s="414" t="s">
        <v>159</v>
      </c>
      <c r="G9" s="414" t="s">
        <v>685</v>
      </c>
      <c r="H9" s="410"/>
      <c r="I9" s="410"/>
    </row>
    <row r="10" spans="1:11" x14ac:dyDescent="0.2">
      <c r="A10" s="12"/>
      <c r="B10" s="127">
        <v>1</v>
      </c>
      <c r="C10" s="97" t="s">
        <v>160</v>
      </c>
      <c r="D10" s="52">
        <f>'[5]Note 2'!$B$47+'[5]Note 2'!$B$48</f>
        <v>7142.7979697743322</v>
      </c>
      <c r="E10" s="52">
        <f>'[5]Note 2'!$B$49</f>
        <v>228.01644534849305</v>
      </c>
      <c r="F10" s="52">
        <f>'[5]Note 2'!$B$50</f>
        <v>96.88563079366682</v>
      </c>
      <c r="G10" s="52">
        <f>'[5]Note 2'!$B$51</f>
        <v>2039.2480540735046</v>
      </c>
      <c r="H10" s="411"/>
      <c r="I10" s="411"/>
    </row>
    <row r="11" spans="1:11" x14ac:dyDescent="0.2">
      <c r="A11" s="12"/>
      <c r="B11" s="127">
        <v>2</v>
      </c>
      <c r="C11" s="97" t="s">
        <v>112</v>
      </c>
      <c r="D11" s="128">
        <v>0</v>
      </c>
      <c r="E11" s="128">
        <v>0</v>
      </c>
      <c r="F11" s="128">
        <v>0</v>
      </c>
      <c r="G11" s="128">
        <v>0</v>
      </c>
      <c r="H11" s="412"/>
      <c r="I11" s="412"/>
    </row>
    <row r="12" spans="1:11" x14ac:dyDescent="0.2">
      <c r="A12" s="12"/>
      <c r="B12" s="129">
        <v>3</v>
      </c>
      <c r="C12" s="130" t="s">
        <v>161</v>
      </c>
      <c r="D12" s="52">
        <f>D10</f>
        <v>7142.7979697743322</v>
      </c>
      <c r="E12" s="52">
        <f>E10</f>
        <v>228.01644534849305</v>
      </c>
      <c r="F12" s="52">
        <f>F10</f>
        <v>96.88563079366682</v>
      </c>
      <c r="G12" s="52">
        <f>G10</f>
        <v>2039.2480540735046</v>
      </c>
      <c r="H12" s="411"/>
      <c r="I12" s="411"/>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K41" sqref="K41"/>
    </sheetView>
  </sheetViews>
  <sheetFormatPr defaultColWidth="11.42578125" defaultRowHeight="11.25" x14ac:dyDescent="0.2"/>
  <cols>
    <col min="1" max="1" width="2.7109375" style="23" customWidth="1"/>
    <col min="2" max="2" width="4.140625" style="16" customWidth="1"/>
    <col min="3" max="3" width="33.42578125" style="16" customWidth="1"/>
    <col min="4" max="21" width="8.28515625" style="16" customWidth="1"/>
    <col min="22" max="16384" width="11.42578125" style="16"/>
  </cols>
  <sheetData>
    <row r="1" spans="1:21" s="10" customFormat="1" ht="11.25" customHeight="1" x14ac:dyDescent="0.2">
      <c r="A1" s="7"/>
      <c r="B1" s="7"/>
      <c r="C1" s="7"/>
      <c r="D1" s="8"/>
      <c r="E1" s="8"/>
      <c r="F1" s="9"/>
      <c r="G1" s="9"/>
      <c r="H1" s="9"/>
    </row>
    <row r="2" spans="1:21" s="10" customFormat="1" ht="5.25" customHeight="1" x14ac:dyDescent="0.2">
      <c r="A2" s="7"/>
      <c r="B2" s="7"/>
      <c r="C2" s="7"/>
      <c r="D2" s="8"/>
      <c r="E2" s="8"/>
      <c r="F2" s="9"/>
      <c r="G2" s="9"/>
      <c r="H2" s="9"/>
    </row>
    <row r="3" spans="1:21" s="12" customFormat="1" ht="12.75" customHeight="1" x14ac:dyDescent="0.2">
      <c r="A3" s="11"/>
      <c r="B3" s="452"/>
      <c r="C3" s="452"/>
      <c r="D3" s="452"/>
      <c r="E3" s="452"/>
      <c r="F3" s="452"/>
      <c r="G3" s="452"/>
      <c r="H3" s="452"/>
    </row>
    <row r="4" spans="1:21" s="10" customFormat="1" ht="5.0999999999999996" customHeight="1" x14ac:dyDescent="0.2">
      <c r="A4" s="7"/>
      <c r="B4" s="7"/>
      <c r="C4" s="7"/>
      <c r="D4" s="8"/>
      <c r="E4" s="8"/>
      <c r="F4" s="9"/>
      <c r="G4" s="9"/>
      <c r="H4" s="9"/>
      <c r="J4" s="7"/>
      <c r="K4" s="7"/>
    </row>
    <row r="5" spans="1:21" s="3" customFormat="1" ht="18" x14ac:dyDescent="0.25">
      <c r="A5" s="13"/>
      <c r="B5" s="136" t="s">
        <v>165</v>
      </c>
    </row>
    <row r="6" spans="1:21" x14ac:dyDescent="0.2">
      <c r="A6" s="14"/>
    </row>
    <row r="7" spans="1:21" x14ac:dyDescent="0.2">
      <c r="A7" s="14"/>
      <c r="B7" s="16" t="s">
        <v>22</v>
      </c>
    </row>
    <row r="8" spans="1:21" x14ac:dyDescent="0.2">
      <c r="A8" s="12"/>
      <c r="B8" s="532"/>
      <c r="C8" s="533" t="s">
        <v>162</v>
      </c>
      <c r="D8" s="535" t="s">
        <v>166</v>
      </c>
      <c r="E8" s="535"/>
      <c r="F8" s="535"/>
      <c r="G8" s="535"/>
      <c r="H8" s="535"/>
      <c r="I8" s="535"/>
      <c r="J8" s="535"/>
      <c r="K8" s="535"/>
      <c r="L8" s="535"/>
      <c r="M8" s="535"/>
      <c r="N8" s="535"/>
      <c r="O8" s="535"/>
      <c r="P8" s="535"/>
      <c r="Q8" s="535"/>
      <c r="R8" s="535"/>
      <c r="S8" s="535"/>
      <c r="T8" s="531" t="s">
        <v>30</v>
      </c>
      <c r="U8" s="531" t="s">
        <v>167</v>
      </c>
    </row>
    <row r="9" spans="1:21" x14ac:dyDescent="0.2">
      <c r="A9" s="12"/>
      <c r="B9" s="532"/>
      <c r="C9" s="534"/>
      <c r="D9" s="57">
        <v>0</v>
      </c>
      <c r="E9" s="57">
        <v>0.02</v>
      </c>
      <c r="F9" s="57">
        <v>0.04</v>
      </c>
      <c r="G9" s="57">
        <v>0.1</v>
      </c>
      <c r="H9" s="57">
        <v>0.2</v>
      </c>
      <c r="I9" s="57">
        <v>0.35</v>
      </c>
      <c r="J9" s="57">
        <v>0.5</v>
      </c>
      <c r="K9" s="57">
        <v>0.7</v>
      </c>
      <c r="L9" s="57">
        <v>0.75</v>
      </c>
      <c r="M9" s="57">
        <v>1</v>
      </c>
      <c r="N9" s="57">
        <v>1.5</v>
      </c>
      <c r="O9" s="57">
        <v>2.5</v>
      </c>
      <c r="P9" s="57">
        <v>3.7</v>
      </c>
      <c r="Q9" s="57">
        <v>12.5</v>
      </c>
      <c r="R9" s="126" t="s">
        <v>168</v>
      </c>
      <c r="S9" s="126" t="s">
        <v>169</v>
      </c>
      <c r="T9" s="531"/>
      <c r="U9" s="531"/>
    </row>
    <row r="10" spans="1:21" x14ac:dyDescent="0.2">
      <c r="A10" s="12"/>
      <c r="B10" s="132">
        <v>1</v>
      </c>
      <c r="C10" s="31" t="s">
        <v>127</v>
      </c>
      <c r="D10" s="52">
        <f>'13'!$E$11</f>
        <v>1608.7639999999999</v>
      </c>
      <c r="E10" s="52"/>
      <c r="F10" s="52"/>
      <c r="G10" s="52">
        <v>927.98</v>
      </c>
      <c r="H10" s="52"/>
      <c r="I10" s="52"/>
      <c r="J10" s="52"/>
      <c r="K10" s="52"/>
      <c r="L10" s="52"/>
      <c r="M10" s="52"/>
      <c r="N10" s="52"/>
      <c r="O10" s="52"/>
      <c r="P10" s="52"/>
      <c r="Q10" s="52"/>
      <c r="R10" s="52"/>
      <c r="S10" s="52"/>
      <c r="T10" s="100">
        <f>SUM(D10:S10)</f>
        <v>2536.7439999999997</v>
      </c>
      <c r="U10" s="52"/>
    </row>
    <row r="11" spans="1:21" x14ac:dyDescent="0.2">
      <c r="A11" s="12"/>
      <c r="B11" s="132">
        <v>2</v>
      </c>
      <c r="C11" s="31" t="s">
        <v>128</v>
      </c>
      <c r="D11" s="52"/>
      <c r="E11" s="52"/>
      <c r="F11" s="52"/>
      <c r="G11" s="52"/>
      <c r="H11" s="52">
        <v>1204.1884700000001</v>
      </c>
      <c r="I11" s="52"/>
      <c r="J11" s="52"/>
      <c r="K11" s="52"/>
      <c r="L11" s="52"/>
      <c r="M11" s="52"/>
      <c r="N11" s="52"/>
      <c r="O11" s="52"/>
      <c r="P11" s="52"/>
      <c r="Q11" s="52"/>
      <c r="R11" s="52"/>
      <c r="S11" s="52"/>
      <c r="T11" s="100">
        <f t="shared" ref="T11:T16" si="0">SUM(D11:S11)</f>
        <v>1204.1884700000001</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10318.541-N13</f>
        <v>10251.949999999999</v>
      </c>
      <c r="M13" s="52">
        <f>1342.413-M16</f>
        <v>1323.7329999999999</v>
      </c>
      <c r="N13" s="52">
        <v>66.590999999999994</v>
      </c>
      <c r="O13" s="52"/>
      <c r="P13" s="52"/>
      <c r="Q13" s="52"/>
      <c r="R13" s="52"/>
      <c r="S13" s="52"/>
      <c r="T13" s="100">
        <f t="shared" si="0"/>
        <v>11642.273999999999</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163</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164</v>
      </c>
      <c r="D16" s="52"/>
      <c r="E16" s="52"/>
      <c r="F16" s="52"/>
      <c r="G16" s="52"/>
      <c r="H16" s="52"/>
      <c r="I16" s="52"/>
      <c r="J16" s="52"/>
      <c r="K16" s="52"/>
      <c r="L16" s="52"/>
      <c r="M16" s="52">
        <v>18.68</v>
      </c>
      <c r="N16" s="52"/>
      <c r="O16" s="52"/>
      <c r="P16" s="52"/>
      <c r="Q16" s="52"/>
      <c r="R16" s="52"/>
      <c r="S16" s="52"/>
      <c r="T16" s="100">
        <f t="shared" si="0"/>
        <v>18.68</v>
      </c>
      <c r="U16" s="52"/>
    </row>
    <row r="17" spans="1:21" x14ac:dyDescent="0.2">
      <c r="A17" s="12"/>
      <c r="B17" s="132">
        <v>8</v>
      </c>
      <c r="C17" s="31" t="s">
        <v>30</v>
      </c>
      <c r="D17" s="52">
        <f>SUM(D10:D16)</f>
        <v>1608.7639999999999</v>
      </c>
      <c r="E17" s="52">
        <f t="shared" ref="E17:T17" si="1">SUM(E10:E16)</f>
        <v>0</v>
      </c>
      <c r="F17" s="52">
        <f t="shared" si="1"/>
        <v>0</v>
      </c>
      <c r="G17" s="52">
        <f t="shared" si="1"/>
        <v>927.98</v>
      </c>
      <c r="H17" s="52">
        <f t="shared" si="1"/>
        <v>1204.1884700000001</v>
      </c>
      <c r="I17" s="52">
        <f t="shared" si="1"/>
        <v>0</v>
      </c>
      <c r="J17" s="52">
        <f t="shared" si="1"/>
        <v>0</v>
      </c>
      <c r="K17" s="52">
        <f t="shared" si="1"/>
        <v>0</v>
      </c>
      <c r="L17" s="52">
        <f t="shared" si="1"/>
        <v>10251.949999999999</v>
      </c>
      <c r="M17" s="52">
        <f t="shared" si="1"/>
        <v>1342.413</v>
      </c>
      <c r="N17" s="52">
        <f t="shared" si="1"/>
        <v>66.590999999999994</v>
      </c>
      <c r="O17" s="52">
        <f t="shared" si="1"/>
        <v>0</v>
      </c>
      <c r="P17" s="52">
        <f t="shared" si="1"/>
        <v>0</v>
      </c>
      <c r="Q17" s="52">
        <f t="shared" si="1"/>
        <v>0</v>
      </c>
      <c r="R17" s="52">
        <f t="shared" si="1"/>
        <v>0</v>
      </c>
      <c r="S17" s="52">
        <f t="shared" si="1"/>
        <v>0</v>
      </c>
      <c r="T17" s="52">
        <f t="shared" si="1"/>
        <v>15401.886469999999</v>
      </c>
      <c r="U17" s="52"/>
    </row>
    <row r="18" spans="1:21" x14ac:dyDescent="0.2">
      <c r="A18" s="12"/>
      <c r="P18" s="32"/>
    </row>
    <row r="19" spans="1:21" x14ac:dyDescent="0.2">
      <c r="A19" s="12"/>
    </row>
    <row r="20" spans="1:21" x14ac:dyDescent="0.2">
      <c r="A20" s="12"/>
    </row>
    <row r="21" spans="1:21" x14ac:dyDescent="0.2">
      <c r="A21" s="12"/>
    </row>
    <row r="22" spans="1:21" x14ac:dyDescent="0.2">
      <c r="A22" s="12"/>
    </row>
    <row r="23" spans="1:21" x14ac:dyDescent="0.2">
      <c r="A23" s="12"/>
    </row>
    <row r="24" spans="1:21" x14ac:dyDescent="0.2">
      <c r="A24" s="1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x14ac:dyDescent="0.2">
      <c r="A70" s="20"/>
    </row>
    <row r="71" spans="1:1" x14ac:dyDescent="0.2">
      <c r="A71" s="20"/>
    </row>
    <row r="72" spans="1:1" x14ac:dyDescent="0.2">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41" sqref="I41"/>
    </sheetView>
  </sheetViews>
  <sheetFormatPr defaultColWidth="11.42578125" defaultRowHeight="11.25" x14ac:dyDescent="0.2"/>
  <cols>
    <col min="1" max="1" width="2.7109375" style="23" customWidth="1"/>
    <col min="2" max="2" width="4.140625" style="16" customWidth="1"/>
    <col min="3" max="3" width="33.42578125" style="16" customWidth="1"/>
    <col min="4" max="10" width="14.7109375" style="16" customWidth="1"/>
    <col min="11" max="16384" width="11.42578125" style="16"/>
  </cols>
  <sheetData>
    <row r="1" spans="1:10" s="10" customFormat="1" ht="11.25" customHeight="1" x14ac:dyDescent="0.2">
      <c r="A1" s="7"/>
      <c r="B1" s="7"/>
      <c r="C1" s="7"/>
      <c r="D1" s="8"/>
      <c r="E1" s="8"/>
      <c r="F1" s="9"/>
      <c r="G1" s="9"/>
      <c r="H1" s="9"/>
    </row>
    <row r="2" spans="1:10" s="10" customFormat="1" ht="5.25" customHeight="1" x14ac:dyDescent="0.2">
      <c r="A2" s="7"/>
      <c r="B2" s="7"/>
      <c r="C2" s="7"/>
      <c r="D2" s="8"/>
      <c r="E2" s="8"/>
      <c r="F2" s="9"/>
      <c r="G2" s="9"/>
      <c r="H2" s="9"/>
    </row>
    <row r="3" spans="1:10" s="12" customFormat="1" ht="12.75" customHeight="1" x14ac:dyDescent="0.2">
      <c r="A3" s="11"/>
      <c r="B3" s="452"/>
      <c r="C3" s="452"/>
      <c r="D3" s="452"/>
      <c r="E3" s="452"/>
      <c r="F3" s="452"/>
      <c r="G3" s="452"/>
      <c r="H3" s="452"/>
    </row>
    <row r="4" spans="1:10" s="10" customFormat="1" ht="5.0999999999999996" customHeight="1" x14ac:dyDescent="0.2">
      <c r="A4" s="7"/>
      <c r="B4" s="7"/>
      <c r="C4" s="7"/>
      <c r="D4" s="8"/>
      <c r="E4" s="8"/>
      <c r="F4" s="9"/>
      <c r="G4" s="9"/>
      <c r="H4" s="9"/>
      <c r="J4" s="7"/>
    </row>
    <row r="5" spans="1:10" s="3" customFormat="1" ht="18" x14ac:dyDescent="0.25">
      <c r="A5" s="13"/>
      <c r="B5" s="136" t="s">
        <v>684</v>
      </c>
    </row>
    <row r="6" spans="1:10" x14ac:dyDescent="0.2">
      <c r="A6" s="14"/>
    </row>
    <row r="7" spans="1:10" x14ac:dyDescent="0.2">
      <c r="A7" s="14"/>
      <c r="B7" s="16" t="s">
        <v>22</v>
      </c>
    </row>
    <row r="8" spans="1:10" x14ac:dyDescent="0.2">
      <c r="A8" s="14"/>
    </row>
    <row r="9" spans="1:10" x14ac:dyDescent="0.2">
      <c r="A9" s="12"/>
      <c r="B9" s="536"/>
      <c r="C9" s="537"/>
      <c r="D9" s="244" t="s">
        <v>23</v>
      </c>
      <c r="E9" s="244" t="s">
        <v>24</v>
      </c>
      <c r="F9" s="244" t="s">
        <v>25</v>
      </c>
      <c r="G9" s="244" t="s">
        <v>26</v>
      </c>
      <c r="H9" s="244" t="s">
        <v>27</v>
      </c>
      <c r="I9" s="244" t="s">
        <v>141</v>
      </c>
      <c r="J9" s="244" t="s">
        <v>142</v>
      </c>
    </row>
    <row r="10" spans="1:10" ht="33.75" x14ac:dyDescent="0.2">
      <c r="A10" s="12"/>
      <c r="B10" s="536"/>
      <c r="C10" s="462"/>
      <c r="D10" s="273" t="s">
        <v>539</v>
      </c>
      <c r="E10" s="273" t="s">
        <v>540</v>
      </c>
      <c r="F10" s="273" t="s">
        <v>541</v>
      </c>
      <c r="G10" s="273" t="s">
        <v>542</v>
      </c>
      <c r="H10" s="273" t="s">
        <v>543</v>
      </c>
      <c r="I10" s="273" t="s">
        <v>544</v>
      </c>
      <c r="J10" s="273" t="s">
        <v>124</v>
      </c>
    </row>
    <row r="11" spans="1:10" x14ac:dyDescent="0.2">
      <c r="A11" s="12"/>
      <c r="B11" s="132">
        <v>1</v>
      </c>
      <c r="C11" s="245" t="s">
        <v>545</v>
      </c>
      <c r="D11" s="272"/>
      <c r="E11" s="52"/>
      <c r="F11" s="52"/>
      <c r="G11" s="272"/>
      <c r="H11" s="272"/>
      <c r="I11" s="52"/>
      <c r="J11" s="52"/>
    </row>
    <row r="12" spans="1:10" x14ac:dyDescent="0.2">
      <c r="A12" s="12"/>
      <c r="B12" s="132">
        <v>2</v>
      </c>
      <c r="C12" s="245" t="s">
        <v>546</v>
      </c>
      <c r="D12" s="52"/>
      <c r="E12" s="272"/>
      <c r="F12" s="272"/>
      <c r="G12" s="272"/>
      <c r="H12" s="272"/>
      <c r="I12" s="52"/>
      <c r="J12" s="52"/>
    </row>
    <row r="13" spans="1:10" x14ac:dyDescent="0.2">
      <c r="A13" s="12"/>
      <c r="B13" s="132">
        <v>3</v>
      </c>
      <c r="C13" s="245" t="s">
        <v>21</v>
      </c>
      <c r="D13" s="272"/>
      <c r="E13" s="52"/>
      <c r="F13" s="272"/>
      <c r="G13" s="272"/>
      <c r="H13" s="52"/>
      <c r="I13" s="52"/>
      <c r="J13" s="52"/>
    </row>
    <row r="14" spans="1:10" x14ac:dyDescent="0.2">
      <c r="A14" s="12"/>
      <c r="B14" s="132">
        <v>4</v>
      </c>
      <c r="C14" s="245" t="s">
        <v>547</v>
      </c>
      <c r="D14" s="272"/>
      <c r="E14" s="272"/>
      <c r="F14" s="272"/>
      <c r="G14" s="52"/>
      <c r="H14" s="52"/>
      <c r="I14" s="52"/>
      <c r="J14" s="52"/>
    </row>
    <row r="15" spans="1:10" x14ac:dyDescent="0.2">
      <c r="A15" s="12"/>
      <c r="B15" s="132">
        <v>5</v>
      </c>
      <c r="C15" s="271" t="s">
        <v>30</v>
      </c>
      <c r="D15" s="272"/>
      <c r="E15" s="272"/>
      <c r="F15" s="272"/>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J31" sqref="J31"/>
    </sheetView>
  </sheetViews>
  <sheetFormatPr defaultColWidth="11.42578125" defaultRowHeight="11.25" x14ac:dyDescent="0.2"/>
  <cols>
    <col min="1" max="1" width="2.7109375" style="23" customWidth="1"/>
    <col min="2" max="2" width="4.140625" style="16" customWidth="1"/>
    <col min="3" max="3" width="33.42578125" style="16" customWidth="1"/>
    <col min="4" max="8" width="14.7109375" style="16" customWidth="1"/>
    <col min="9" max="16384" width="11.42578125" style="16"/>
  </cols>
  <sheetData>
    <row r="1" spans="1:8" s="10" customFormat="1" ht="11.25" customHeight="1" x14ac:dyDescent="0.2">
      <c r="A1" s="7"/>
      <c r="B1" s="7"/>
      <c r="C1" s="7"/>
      <c r="D1" s="8"/>
      <c r="E1" s="8"/>
      <c r="F1" s="9"/>
      <c r="G1" s="9"/>
      <c r="H1" s="9"/>
    </row>
    <row r="2" spans="1:8" s="10" customFormat="1" ht="5.25" customHeight="1" x14ac:dyDescent="0.2">
      <c r="A2" s="7"/>
      <c r="B2" s="7"/>
      <c r="C2" s="7"/>
      <c r="D2" s="8"/>
      <c r="E2" s="8"/>
      <c r="F2" s="9"/>
      <c r="G2" s="9"/>
      <c r="H2" s="9"/>
    </row>
    <row r="3" spans="1:8" s="12" customFormat="1" ht="12.75" customHeight="1" x14ac:dyDescent="0.2">
      <c r="A3" s="11"/>
      <c r="B3" s="452"/>
      <c r="C3" s="452"/>
      <c r="D3" s="452"/>
      <c r="E3" s="452"/>
      <c r="F3" s="452"/>
      <c r="G3" s="452"/>
      <c r="H3" s="452"/>
    </row>
    <row r="4" spans="1:8" s="10" customFormat="1" ht="5.0999999999999996" customHeight="1" x14ac:dyDescent="0.2">
      <c r="A4" s="7"/>
      <c r="B4" s="7"/>
      <c r="C4" s="7"/>
      <c r="D4" s="8"/>
      <c r="E4" s="8"/>
      <c r="F4" s="9"/>
      <c r="G4" s="9"/>
      <c r="H4" s="9"/>
    </row>
    <row r="5" spans="1:8" s="3" customFormat="1" ht="18" x14ac:dyDescent="0.25">
      <c r="A5" s="13"/>
      <c r="B5" s="136" t="s">
        <v>548</v>
      </c>
    </row>
    <row r="6" spans="1:8" x14ac:dyDescent="0.2">
      <c r="A6" s="14"/>
    </row>
    <row r="7" spans="1:8" x14ac:dyDescent="0.2">
      <c r="A7" s="14"/>
      <c r="B7" s="16" t="s">
        <v>22</v>
      </c>
    </row>
    <row r="8" spans="1:8" x14ac:dyDescent="0.2">
      <c r="A8" s="14"/>
    </row>
    <row r="9" spans="1:8" x14ac:dyDescent="0.2">
      <c r="A9" s="12"/>
      <c r="B9" s="536"/>
      <c r="C9" s="537"/>
      <c r="D9" s="244" t="s">
        <v>23</v>
      </c>
      <c r="E9" s="244" t="s">
        <v>24</v>
      </c>
      <c r="F9" s="244" t="s">
        <v>25</v>
      </c>
      <c r="G9" s="244" t="s">
        <v>26</v>
      </c>
      <c r="H9" s="244" t="s">
        <v>27</v>
      </c>
    </row>
    <row r="10" spans="1:8" ht="33.75" x14ac:dyDescent="0.2">
      <c r="A10" s="12"/>
      <c r="B10" s="536"/>
      <c r="C10" s="462"/>
      <c r="D10" s="273" t="s">
        <v>550</v>
      </c>
      <c r="E10" s="273" t="s">
        <v>551</v>
      </c>
      <c r="F10" s="273" t="s">
        <v>552</v>
      </c>
      <c r="G10" s="273" t="s">
        <v>553</v>
      </c>
      <c r="H10" s="273" t="s">
        <v>554</v>
      </c>
    </row>
    <row r="11" spans="1:8" x14ac:dyDescent="0.2">
      <c r="A11" s="12"/>
      <c r="B11" s="132">
        <v>1</v>
      </c>
      <c r="C11" s="245" t="s">
        <v>118</v>
      </c>
      <c r="D11" s="52"/>
      <c r="E11" s="52"/>
      <c r="F11" s="52"/>
      <c r="G11" s="52"/>
      <c r="H11" s="52"/>
    </row>
    <row r="12" spans="1:8" x14ac:dyDescent="0.2">
      <c r="A12" s="12"/>
      <c r="B12" s="132">
        <v>2</v>
      </c>
      <c r="C12" s="245" t="s">
        <v>555</v>
      </c>
      <c r="D12" s="52"/>
      <c r="E12" s="52"/>
      <c r="F12" s="52"/>
      <c r="G12" s="52"/>
      <c r="H12" s="52"/>
    </row>
    <row r="13" spans="1:8" x14ac:dyDescent="0.2">
      <c r="A13" s="12"/>
      <c r="B13" s="132">
        <v>3</v>
      </c>
      <c r="C13" s="245" t="s">
        <v>549</v>
      </c>
      <c r="D13" s="52"/>
      <c r="E13" s="52"/>
      <c r="F13" s="52"/>
      <c r="G13" s="52"/>
      <c r="H13" s="52"/>
    </row>
    <row r="14" spans="1:8" x14ac:dyDescent="0.2">
      <c r="A14" s="12"/>
      <c r="B14" s="132">
        <v>5</v>
      </c>
      <c r="C14" s="271"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8" x14ac:dyDescent="0.2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x14ac:dyDescent="0.2">
      <c r="A67" s="20"/>
    </row>
    <row r="68" spans="1:1" x14ac:dyDescent="0.2">
      <c r="A68" s="20"/>
    </row>
    <row r="69" spans="1:1" x14ac:dyDescent="0.2">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57"/>
  <sheetViews>
    <sheetView showGridLines="0" zoomScaleNormal="100" workbookViewId="0">
      <selection activeCell="A5" sqref="A5:G57"/>
    </sheetView>
  </sheetViews>
  <sheetFormatPr defaultColWidth="11.42578125" defaultRowHeight="15" x14ac:dyDescent="0.2"/>
  <cols>
    <col min="1" max="1" width="61.42578125" style="135" customWidth="1"/>
    <col min="2" max="6" width="12" style="134" customWidth="1"/>
    <col min="7" max="7" width="15" style="135" bestFit="1" customWidth="1"/>
    <col min="8" max="8" width="10.5703125" style="135" bestFit="1" customWidth="1"/>
    <col min="9" max="16384" width="11.42578125" style="135"/>
  </cols>
  <sheetData>
    <row r="1" spans="1:7" x14ac:dyDescent="0.2">
      <c r="A1" s="133"/>
    </row>
    <row r="2" spans="1:7" ht="6" customHeight="1" x14ac:dyDescent="0.2">
      <c r="B2" s="135"/>
      <c r="C2" s="135"/>
      <c r="D2" s="135"/>
      <c r="E2" s="135"/>
      <c r="F2" s="135"/>
    </row>
    <row r="3" spans="1:7" ht="18" x14ac:dyDescent="0.25">
      <c r="A3" s="136" t="s">
        <v>512</v>
      </c>
    </row>
    <row r="4" spans="1:7" ht="15.75" x14ac:dyDescent="0.25">
      <c r="A4" s="137"/>
    </row>
    <row r="5" spans="1:7" x14ac:dyDescent="0.2">
      <c r="A5" s="427" t="s">
        <v>170</v>
      </c>
      <c r="B5" s="259">
        <v>43830</v>
      </c>
      <c r="C5" s="259">
        <v>43921</v>
      </c>
      <c r="D5" s="259">
        <v>44012</v>
      </c>
      <c r="E5" s="259">
        <v>44104</v>
      </c>
      <c r="F5" s="259">
        <v>44196</v>
      </c>
      <c r="G5" s="259">
        <v>44286</v>
      </c>
    </row>
    <row r="6" spans="1:7" x14ac:dyDescent="0.2">
      <c r="A6" s="260" t="s">
        <v>22</v>
      </c>
      <c r="B6" s="260"/>
      <c r="C6" s="260"/>
      <c r="D6" s="260"/>
      <c r="E6" s="260"/>
      <c r="F6" s="260"/>
      <c r="G6" s="260"/>
    </row>
    <row r="7" spans="1:7" s="140" customFormat="1" ht="15" customHeight="1" x14ac:dyDescent="0.2">
      <c r="A7" s="138" t="s">
        <v>579</v>
      </c>
      <c r="B7" s="139">
        <v>122.93353480999907</v>
      </c>
      <c r="C7" s="139">
        <v>133.21439408800072</v>
      </c>
      <c r="D7" s="139">
        <v>258.41224959599987</v>
      </c>
      <c r="E7" s="139">
        <v>293.36513796999952</v>
      </c>
      <c r="F7" s="139">
        <v>240.83769431599967</v>
      </c>
      <c r="G7" s="139">
        <v>228.34427184800057</v>
      </c>
    </row>
    <row r="8" spans="1:7" s="140" customFormat="1" ht="15" customHeight="1" x14ac:dyDescent="0.2">
      <c r="A8" s="138" t="s">
        <v>580</v>
      </c>
      <c r="B8" s="139">
        <v>5835.7185736070669</v>
      </c>
      <c r="C8" s="139">
        <v>5896.2388511709487</v>
      </c>
      <c r="D8" s="139">
        <v>5498.7435902398074</v>
      </c>
      <c r="E8" s="139">
        <v>5450.4853382243109</v>
      </c>
      <c r="F8" s="139">
        <v>6721.3617913070493</v>
      </c>
      <c r="G8" s="139">
        <v>5040.6461602264371</v>
      </c>
    </row>
    <row r="9" spans="1:7" s="140" customFormat="1" ht="15" customHeight="1" x14ac:dyDescent="0.2">
      <c r="A9" s="138" t="s">
        <v>497</v>
      </c>
      <c r="B9" s="139">
        <v>9.0778524160000025</v>
      </c>
      <c r="C9" s="139">
        <v>10.494127399999998</v>
      </c>
      <c r="D9" s="139">
        <v>30.189060099999992</v>
      </c>
      <c r="E9" s="139">
        <v>178.50827768800005</v>
      </c>
      <c r="F9" s="139">
        <v>92.798061566999991</v>
      </c>
      <c r="G9" s="139">
        <v>90.128468472999998</v>
      </c>
    </row>
    <row r="10" spans="1:7" s="140" customFormat="1" ht="15" customHeight="1" x14ac:dyDescent="0.2">
      <c r="A10" s="138" t="s">
        <v>581</v>
      </c>
      <c r="B10" s="139">
        <v>884.55986672337633</v>
      </c>
      <c r="C10" s="139">
        <v>1082.8661975396581</v>
      </c>
      <c r="D10" s="139">
        <v>1164.8606085557865</v>
      </c>
      <c r="E10" s="139">
        <v>1162.2488533198286</v>
      </c>
      <c r="F10" s="139">
        <v>18.68129678</v>
      </c>
      <c r="G10" s="139">
        <v>1415.30953326394</v>
      </c>
    </row>
    <row r="11" spans="1:7" s="140" customFormat="1" ht="15" customHeight="1" x14ac:dyDescent="0.2">
      <c r="A11" s="138" t="s">
        <v>582</v>
      </c>
      <c r="B11" s="139">
        <v>36.800030889266317</v>
      </c>
      <c r="C11" s="139">
        <v>99.100663457600177</v>
      </c>
      <c r="D11" s="139">
        <v>121.9623755166658</v>
      </c>
      <c r="E11" s="139">
        <v>131.7690306885728</v>
      </c>
      <c r="F11" s="139">
        <v>0</v>
      </c>
      <c r="G11" s="139">
        <v>0</v>
      </c>
    </row>
    <row r="12" spans="1:7"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row>
    <row r="13" spans="1:7" s="140" customFormat="1" ht="15" customHeight="1" x14ac:dyDescent="0.2">
      <c r="A13" s="141" t="s">
        <v>520</v>
      </c>
      <c r="B13" s="142">
        <v>6925.2448922857084</v>
      </c>
      <c r="C13" s="142">
        <v>7255.2810669762084</v>
      </c>
      <c r="D13" s="142">
        <v>7102.7306716382591</v>
      </c>
      <c r="E13" s="142">
        <v>7242.7362911607124</v>
      </c>
      <c r="F13" s="142">
        <v>8727.3397601100496</v>
      </c>
      <c r="G13" s="142">
        <v>6796.5942237113777</v>
      </c>
    </row>
    <row r="14" spans="1:7"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row>
    <row r="15" spans="1:7" s="140" customFormat="1" ht="15" customHeight="1" x14ac:dyDescent="0.2">
      <c r="A15" s="141" t="s">
        <v>174</v>
      </c>
      <c r="B15" s="142">
        <v>8747.861520760709</v>
      </c>
      <c r="C15" s="142">
        <v>9077.8976954512091</v>
      </c>
      <c r="D15" s="142">
        <v>8925.3473001132588</v>
      </c>
      <c r="E15" s="142">
        <v>9065.352919635714</v>
      </c>
      <c r="F15" s="142">
        <v>8727.3397601100496</v>
      </c>
      <c r="G15" s="142">
        <v>8450.2551398513788</v>
      </c>
    </row>
    <row r="16" spans="1:7" s="140" customFormat="1" ht="11.25" x14ac:dyDescent="0.2">
      <c r="A16" s="143"/>
      <c r="B16" s="143"/>
      <c r="C16" s="143"/>
      <c r="D16" s="143"/>
      <c r="E16" s="143"/>
      <c r="F16" s="143"/>
      <c r="G16" s="143"/>
    </row>
    <row r="17" spans="1:7" s="140" customFormat="1" ht="11.25" x14ac:dyDescent="0.2">
      <c r="A17" s="143"/>
      <c r="B17" s="143"/>
      <c r="C17" s="143"/>
      <c r="D17" s="143"/>
      <c r="E17" s="143"/>
      <c r="F17" s="143"/>
      <c r="G17" s="143"/>
    </row>
    <row r="18" spans="1:7" s="140" customFormat="1" ht="11.25" x14ac:dyDescent="0.2">
      <c r="A18" s="427" t="s">
        <v>175</v>
      </c>
      <c r="B18" s="259">
        <v>43830</v>
      </c>
      <c r="C18" s="259">
        <v>43921</v>
      </c>
      <c r="D18" s="259">
        <v>44012</v>
      </c>
      <c r="E18" s="259">
        <v>44104</v>
      </c>
      <c r="F18" s="259">
        <v>44196</v>
      </c>
      <c r="G18" s="259">
        <v>44286</v>
      </c>
    </row>
    <row r="19" spans="1:7" s="140" customFormat="1" ht="11.25" x14ac:dyDescent="0.2">
      <c r="A19" s="260" t="s">
        <v>171</v>
      </c>
      <c r="B19" s="260"/>
      <c r="C19" s="260"/>
      <c r="D19" s="260"/>
      <c r="E19" s="260"/>
      <c r="F19" s="260"/>
      <c r="G19" s="260"/>
    </row>
    <row r="20" spans="1:7" s="140" customFormat="1" ht="15" customHeight="1" x14ac:dyDescent="0.2">
      <c r="A20" s="138" t="s">
        <v>521</v>
      </c>
      <c r="B20" s="144">
        <v>184.11972800000001</v>
      </c>
      <c r="C20" s="144">
        <v>184.11972800000001</v>
      </c>
      <c r="D20" s="144">
        <v>186.36849799999999</v>
      </c>
      <c r="E20" s="144">
        <v>186.53806899999998</v>
      </c>
      <c r="F20" s="144">
        <v>186.61373900000001</v>
      </c>
      <c r="G20" s="144">
        <v>186.855142</v>
      </c>
    </row>
    <row r="21" spans="1:7" s="140" customFormat="1" ht="15" customHeight="1" x14ac:dyDescent="0.2">
      <c r="A21" s="138" t="s">
        <v>583</v>
      </c>
      <c r="B21" s="144">
        <v>786.67196625000008</v>
      </c>
      <c r="C21" s="144">
        <v>786.67196625000008</v>
      </c>
      <c r="D21" s="144">
        <v>786.67196625000008</v>
      </c>
      <c r="E21" s="144">
        <v>786.67196625000008</v>
      </c>
      <c r="F21" s="144">
        <v>786.67196625000008</v>
      </c>
      <c r="G21" s="144">
        <v>786.67196625000008</v>
      </c>
    </row>
    <row r="22" spans="1:7" s="140" customFormat="1" ht="15" customHeight="1" x14ac:dyDescent="0.2">
      <c r="A22" s="138" t="s">
        <v>176</v>
      </c>
      <c r="B22" s="144">
        <v>834.2067910924028</v>
      </c>
      <c r="C22" s="144">
        <v>879.99745832000019</v>
      </c>
      <c r="D22" s="144">
        <v>952.76783010000008</v>
      </c>
      <c r="E22" s="144">
        <v>1020.9693780900004</v>
      </c>
      <c r="F22" s="144">
        <v>1021.25393809</v>
      </c>
      <c r="G22" s="144">
        <v>1144.7990243500003</v>
      </c>
    </row>
    <row r="23" spans="1:7" s="140" customFormat="1" ht="15" customHeight="1" x14ac:dyDescent="0.2">
      <c r="A23" s="538" t="s">
        <v>695</v>
      </c>
      <c r="B23" s="144"/>
      <c r="C23" s="144"/>
      <c r="D23" s="144"/>
      <c r="E23" s="144"/>
      <c r="F23" s="144">
        <v>-78.479159639999992</v>
      </c>
      <c r="G23" s="144">
        <v>-161.80725911796497</v>
      </c>
    </row>
    <row r="24" spans="1:7" s="140" customFormat="1" ht="15" customHeight="1" x14ac:dyDescent="0.2">
      <c r="A24" s="138" t="s">
        <v>584</v>
      </c>
      <c r="B24" s="144">
        <v>194.29714705243907</v>
      </c>
      <c r="C24" s="144">
        <v>189.22599694264929</v>
      </c>
      <c r="D24" s="144">
        <v>174.6298422199726</v>
      </c>
      <c r="E24" s="144">
        <v>176.25840188795783</v>
      </c>
      <c r="F24" s="144">
        <v>159.4077594102026</v>
      </c>
      <c r="G24" s="144">
        <v>94.388123948871524</v>
      </c>
    </row>
    <row r="25" spans="1:7" s="140" customFormat="1" ht="15" customHeight="1" x14ac:dyDescent="0.2">
      <c r="A25" s="141" t="s">
        <v>177</v>
      </c>
      <c r="B25" s="142">
        <v>1999.295632394842</v>
      </c>
      <c r="C25" s="142">
        <v>2040.0151495126495</v>
      </c>
      <c r="D25" s="142">
        <v>2100.4381365699728</v>
      </c>
      <c r="E25" s="142">
        <v>2170.4378152279583</v>
      </c>
      <c r="F25" s="142">
        <v>2075.4682431102028</v>
      </c>
      <c r="G25" s="142">
        <v>2050.9069974309068</v>
      </c>
    </row>
    <row r="26" spans="1:7" s="140" customFormat="1" ht="15" customHeight="1" x14ac:dyDescent="0.2">
      <c r="A26" s="145" t="s">
        <v>173</v>
      </c>
      <c r="B26" s="146"/>
      <c r="C26" s="146"/>
      <c r="D26" s="146"/>
      <c r="E26" s="146"/>
      <c r="F26" s="146"/>
      <c r="G26" s="146"/>
    </row>
    <row r="27" spans="1:7" s="140" customFormat="1" ht="15" customHeight="1" x14ac:dyDescent="0.2">
      <c r="A27" s="147" t="s">
        <v>178</v>
      </c>
      <c r="B27" s="139">
        <v>-144.07205134</v>
      </c>
      <c r="C27" s="139">
        <v>-145.19074864873002</v>
      </c>
      <c r="D27" s="139">
        <v>-151.88384152999996</v>
      </c>
      <c r="E27" s="139">
        <v>-151.94825282999997</v>
      </c>
      <c r="F27" s="139">
        <v>-154.20006535000002</v>
      </c>
      <c r="G27" s="139">
        <v>-151.36952010578</v>
      </c>
    </row>
    <row r="28" spans="1:7" s="140" customFormat="1" ht="15" customHeight="1" x14ac:dyDescent="0.2">
      <c r="A28" s="147" t="s">
        <v>179</v>
      </c>
      <c r="B28" s="139">
        <v>-1.32977906364</v>
      </c>
      <c r="C28" s="139">
        <v>-1.32977906364</v>
      </c>
      <c r="D28" s="139">
        <v>-1.49820277513</v>
      </c>
      <c r="E28" s="139">
        <v>-2.5852016350800002</v>
      </c>
      <c r="F28" s="139">
        <v>-1.84802476605</v>
      </c>
      <c r="G28" s="139">
        <v>-1.84802476605</v>
      </c>
    </row>
    <row r="29" spans="1:7" s="140" customFormat="1" ht="15" customHeight="1" x14ac:dyDescent="0.2">
      <c r="A29" s="141" t="s">
        <v>180</v>
      </c>
      <c r="B29" s="142">
        <v>1853.8938019912021</v>
      </c>
      <c r="C29" s="142">
        <v>1893.4946218002794</v>
      </c>
      <c r="D29" s="142">
        <v>1947.0560922648428</v>
      </c>
      <c r="E29" s="142">
        <v>2015.9043607628782</v>
      </c>
      <c r="F29" s="142">
        <v>1919.4201529941529</v>
      </c>
      <c r="G29" s="142">
        <v>1897.6894525590769</v>
      </c>
    </row>
    <row r="30" spans="1:7" s="140" customFormat="1" ht="15" customHeight="1" x14ac:dyDescent="0.2">
      <c r="A30" s="138" t="s">
        <v>181</v>
      </c>
      <c r="B30" s="139">
        <v>44.55</v>
      </c>
      <c r="C30" s="139">
        <v>44.55</v>
      </c>
      <c r="D30" s="139">
        <v>244.55</v>
      </c>
      <c r="E30" s="139">
        <v>244.55</v>
      </c>
      <c r="F30" s="139">
        <v>244.55</v>
      </c>
      <c r="G30" s="139">
        <v>199.55</v>
      </c>
    </row>
    <row r="31" spans="1:7" s="140" customFormat="1" ht="15" customHeight="1" x14ac:dyDescent="0.2">
      <c r="A31" s="141" t="s">
        <v>182</v>
      </c>
      <c r="B31" s="142">
        <v>1898.443801991202</v>
      </c>
      <c r="C31" s="142">
        <v>1938.0446218002794</v>
      </c>
      <c r="D31" s="142">
        <v>2191.606092264843</v>
      </c>
      <c r="E31" s="142">
        <v>2260.4543607628784</v>
      </c>
      <c r="F31" s="142">
        <v>2163.9701529941531</v>
      </c>
      <c r="G31" s="142">
        <v>2097.2394525590771</v>
      </c>
    </row>
    <row r="32" spans="1:7" s="140" customFormat="1" ht="15" customHeight="1" x14ac:dyDescent="0.2">
      <c r="A32" s="138" t="s">
        <v>183</v>
      </c>
      <c r="B32" s="139">
        <v>64.859166509999994</v>
      </c>
      <c r="C32" s="139">
        <v>64.891666499999999</v>
      </c>
      <c r="D32" s="139">
        <v>64.924166490000005</v>
      </c>
      <c r="E32" s="139">
        <v>64.956666479999996</v>
      </c>
      <c r="F32" s="139">
        <v>64.989166470000001</v>
      </c>
      <c r="G32" s="139">
        <v>106.8</v>
      </c>
    </row>
    <row r="33" spans="1:7" s="140" customFormat="1" ht="15" customHeight="1" x14ac:dyDescent="0.2">
      <c r="A33" s="141" t="s">
        <v>184</v>
      </c>
      <c r="B33" s="142">
        <v>64.859166509999994</v>
      </c>
      <c r="C33" s="142">
        <v>64.891666499999999</v>
      </c>
      <c r="D33" s="142">
        <v>64.924166490000005</v>
      </c>
      <c r="E33" s="142">
        <v>64.956666479999996</v>
      </c>
      <c r="F33" s="142">
        <v>64.989166470000001</v>
      </c>
      <c r="G33" s="142">
        <v>106.8</v>
      </c>
    </row>
    <row r="34" spans="1:7" s="140" customFormat="1" ht="11.25" x14ac:dyDescent="0.2">
      <c r="A34" s="141" t="s">
        <v>185</v>
      </c>
      <c r="B34" s="142">
        <v>1963.302968501202</v>
      </c>
      <c r="C34" s="142">
        <v>2002.9362883002793</v>
      </c>
      <c r="D34" s="142">
        <v>2256.5302587548431</v>
      </c>
      <c r="E34" s="142">
        <v>2325.4110272428784</v>
      </c>
      <c r="F34" s="142">
        <v>2228.9593194641529</v>
      </c>
      <c r="G34" s="142">
        <v>2204.0394525590773</v>
      </c>
    </row>
    <row r="35" spans="1:7" s="140" customFormat="1" ht="11.25" x14ac:dyDescent="0.2">
      <c r="A35" s="143"/>
      <c r="B35" s="143"/>
      <c r="C35" s="143"/>
      <c r="D35" s="143"/>
      <c r="E35" s="143"/>
      <c r="F35" s="143"/>
      <c r="G35" s="143"/>
    </row>
    <row r="36" spans="1:7" s="140" customFormat="1" ht="11.25" x14ac:dyDescent="0.2">
      <c r="A36" s="143"/>
      <c r="B36" s="143"/>
      <c r="C36" s="143"/>
      <c r="D36" s="143"/>
      <c r="E36" s="143"/>
      <c r="F36" s="143"/>
      <c r="G36" s="143"/>
    </row>
    <row r="37" spans="1:7" s="140" customFormat="1" ht="11.25" x14ac:dyDescent="0.2">
      <c r="A37" s="427" t="s">
        <v>186</v>
      </c>
      <c r="B37" s="259">
        <v>43830</v>
      </c>
      <c r="C37" s="259">
        <v>43921</v>
      </c>
      <c r="D37" s="259">
        <v>44012</v>
      </c>
      <c r="E37" s="259">
        <v>44104</v>
      </c>
      <c r="F37" s="259">
        <v>44196</v>
      </c>
      <c r="G37" s="259">
        <v>44286</v>
      </c>
    </row>
    <row r="38" spans="1:7" s="140" customFormat="1" ht="15" customHeight="1" x14ac:dyDescent="0.2">
      <c r="A38" s="260" t="s">
        <v>187</v>
      </c>
      <c r="B38" s="260"/>
      <c r="C38" s="260"/>
      <c r="D38" s="260"/>
      <c r="E38" s="260"/>
      <c r="F38" s="260"/>
      <c r="G38" s="260"/>
    </row>
    <row r="39" spans="1:7" s="140" customFormat="1" ht="15" customHeight="1" x14ac:dyDescent="0.2">
      <c r="A39" s="143"/>
      <c r="B39" s="152"/>
      <c r="C39" s="152"/>
      <c r="D39" s="152"/>
      <c r="E39" s="152"/>
      <c r="F39" s="152"/>
      <c r="G39" s="152"/>
    </row>
    <row r="40" spans="1:7" s="140" customFormat="1" ht="15" customHeight="1" x14ac:dyDescent="0.2">
      <c r="A40" s="148" t="s">
        <v>188</v>
      </c>
      <c r="B40" s="149">
        <v>0.21192537142837492</v>
      </c>
      <c r="C40" s="149">
        <v>0.20858294346598327</v>
      </c>
      <c r="D40" s="149">
        <v>0.21814905647874738</v>
      </c>
      <c r="E40" s="149">
        <v>0.22237461449475335</v>
      </c>
      <c r="F40" s="149">
        <v>0.22731983756744864</v>
      </c>
      <c r="G40" s="149">
        <v>0.22457185270176977</v>
      </c>
    </row>
    <row r="41" spans="1:7" s="140" customFormat="1" ht="15" customHeight="1" x14ac:dyDescent="0.2">
      <c r="A41" s="148" t="s">
        <v>181</v>
      </c>
      <c r="B41" s="149">
        <v>5.0926732086776279E-3</v>
      </c>
      <c r="C41" s="149">
        <v>4.9075239107754321E-3</v>
      </c>
      <c r="D41" s="149">
        <v>2.7399494022702822E-2</v>
      </c>
      <c r="E41" s="149">
        <v>2.6976335302986432E-2</v>
      </c>
      <c r="F41" s="149">
        <v>2.8021138940615337E-2</v>
      </c>
      <c r="G41" s="149">
        <v>2.3614671592449649E-2</v>
      </c>
    </row>
    <row r="42" spans="1:7" s="140" customFormat="1" ht="15" customHeight="1" x14ac:dyDescent="0.2">
      <c r="A42" s="148" t="s">
        <v>189</v>
      </c>
      <c r="B42" s="149">
        <v>7.4142882070176936E-3</v>
      </c>
      <c r="C42" s="149">
        <v>7.1483143649565678E-3</v>
      </c>
      <c r="D42" s="149">
        <v>7.2741333537997051E-3</v>
      </c>
      <c r="E42" s="149">
        <v>7.1653764675066178E-3</v>
      </c>
      <c r="F42" s="149">
        <v>7.4466181283608379E-3</v>
      </c>
      <c r="G42" s="149">
        <v>1.2638671641561655E-2</v>
      </c>
    </row>
    <row r="43" spans="1:7" x14ac:dyDescent="0.2">
      <c r="A43" s="150" t="s">
        <v>512</v>
      </c>
      <c r="B43" s="151">
        <v>0.22443233284407024</v>
      </c>
      <c r="C43" s="151">
        <v>0.22063878174171525</v>
      </c>
      <c r="D43" s="151">
        <v>0.25282268385524992</v>
      </c>
      <c r="E43" s="151">
        <v>0.2565163262652464</v>
      </c>
      <c r="F43" s="151">
        <v>0.26278759463642481</v>
      </c>
      <c r="G43" s="151">
        <v>0.26082519593578107</v>
      </c>
    </row>
    <row r="44" spans="1:7" x14ac:dyDescent="0.2">
      <c r="G44" s="134"/>
    </row>
    <row r="45" spans="1:7" x14ac:dyDescent="0.2">
      <c r="A45" s="427" t="s">
        <v>556</v>
      </c>
      <c r="B45" s="259">
        <v>43830</v>
      </c>
      <c r="C45" s="259">
        <v>43921</v>
      </c>
      <c r="D45" s="259">
        <v>44012</v>
      </c>
      <c r="E45" s="259">
        <v>44104</v>
      </c>
      <c r="F45" s="259">
        <v>44196</v>
      </c>
      <c r="G45" s="259">
        <v>44286</v>
      </c>
    </row>
    <row r="46" spans="1:7" x14ac:dyDescent="0.2">
      <c r="A46" s="260" t="s">
        <v>187</v>
      </c>
      <c r="B46" s="260"/>
      <c r="C46" s="260"/>
      <c r="D46" s="260"/>
      <c r="E46" s="260"/>
      <c r="F46" s="260"/>
      <c r="G46" s="260"/>
    </row>
    <row r="47" spans="1:7" x14ac:dyDescent="0.2">
      <c r="A47" s="148" t="s">
        <v>559</v>
      </c>
      <c r="B47" s="149">
        <v>4.4999999999999998E-2</v>
      </c>
      <c r="C47" s="149">
        <v>4.4999999999999998E-2</v>
      </c>
      <c r="D47" s="151">
        <v>4.4999999999999998E-2</v>
      </c>
      <c r="E47" s="151">
        <v>4.4999999999999998E-2</v>
      </c>
      <c r="F47" s="151">
        <v>4.4999999999999998E-2</v>
      </c>
      <c r="G47" s="151">
        <v>4.4999999999999998E-2</v>
      </c>
    </row>
    <row r="48" spans="1:7" x14ac:dyDescent="0.2">
      <c r="A48" s="148" t="s">
        <v>557</v>
      </c>
      <c r="B48" s="149">
        <v>2.5000000000000001E-2</v>
      </c>
      <c r="C48" s="149">
        <v>2.5000000000000001E-2</v>
      </c>
      <c r="D48" s="149">
        <v>2.5000000000000001E-2</v>
      </c>
      <c r="E48" s="149">
        <v>2.5000000000000001E-2</v>
      </c>
      <c r="F48" s="149">
        <v>2.5000000000000001E-2</v>
      </c>
      <c r="G48" s="149">
        <v>2.5000000000000001E-2</v>
      </c>
    </row>
    <row r="49" spans="1:7" x14ac:dyDescent="0.2">
      <c r="A49" s="148" t="s">
        <v>558</v>
      </c>
      <c r="B49" s="149">
        <v>0.03</v>
      </c>
      <c r="C49" s="149">
        <v>0.03</v>
      </c>
      <c r="D49" s="149">
        <v>0.03</v>
      </c>
      <c r="E49" s="149">
        <v>0.03</v>
      </c>
      <c r="F49" s="149">
        <v>0.03</v>
      </c>
      <c r="G49" s="149">
        <v>0.03</v>
      </c>
    </row>
    <row r="50" spans="1:7" x14ac:dyDescent="0.2">
      <c r="A50" s="148" t="s">
        <v>570</v>
      </c>
      <c r="B50" s="149">
        <v>1.7999999999999999E-2</v>
      </c>
      <c r="C50" s="149">
        <v>5.2302379903421663E-3</v>
      </c>
      <c r="D50" s="149">
        <v>5.1673376256063819E-3</v>
      </c>
      <c r="E50" s="149">
        <v>4.9927406493235895E-3</v>
      </c>
      <c r="F50" s="149">
        <v>4.9092090211249988E-3</v>
      </c>
      <c r="G50" s="149">
        <v>4.8809768291311045E-3</v>
      </c>
    </row>
    <row r="51" spans="1:7" x14ac:dyDescent="0.2">
      <c r="A51" s="150" t="s">
        <v>560</v>
      </c>
      <c r="B51" s="151">
        <v>0.11800000000000001</v>
      </c>
      <c r="C51" s="151">
        <v>0.10523023799034217</v>
      </c>
      <c r="D51" s="151">
        <v>0.10516733762560639</v>
      </c>
      <c r="E51" s="151">
        <v>0.1049927406493236</v>
      </c>
      <c r="F51" s="151">
        <v>0.10490920902112501</v>
      </c>
      <c r="G51" s="151">
        <v>0.10488097682913111</v>
      </c>
    </row>
    <row r="52" spans="1:7" x14ac:dyDescent="0.2">
      <c r="A52" s="148" t="s">
        <v>561</v>
      </c>
      <c r="B52" s="149">
        <v>1.4999999999999999E-2</v>
      </c>
      <c r="C52" s="149">
        <v>1.4999999999999999E-2</v>
      </c>
      <c r="D52" s="149">
        <v>1.4999999999999999E-2</v>
      </c>
      <c r="E52" s="149">
        <v>1.4999999999999999E-2</v>
      </c>
      <c r="F52" s="149">
        <v>1.4999999999999999E-2</v>
      </c>
      <c r="G52" s="149">
        <v>1.4999999999999999E-2</v>
      </c>
    </row>
    <row r="53" spans="1:7" x14ac:dyDescent="0.2">
      <c r="A53" s="150" t="s">
        <v>562</v>
      </c>
      <c r="B53" s="151">
        <v>0.13300000000000001</v>
      </c>
      <c r="C53" s="151">
        <v>0.12023023799034217</v>
      </c>
      <c r="D53" s="151">
        <v>0.12016733762560639</v>
      </c>
      <c r="E53" s="151">
        <v>0.1199927406493236</v>
      </c>
      <c r="F53" s="151">
        <v>0.11990920902112501</v>
      </c>
      <c r="G53" s="151">
        <v>0.11988097682913111</v>
      </c>
    </row>
    <row r="54" spans="1:7" x14ac:dyDescent="0.2">
      <c r="A54" s="148" t="s">
        <v>563</v>
      </c>
      <c r="B54" s="149">
        <v>0.02</v>
      </c>
      <c r="C54" s="149">
        <v>0.02</v>
      </c>
      <c r="D54" s="149">
        <v>0.02</v>
      </c>
      <c r="E54" s="149">
        <v>0.02</v>
      </c>
      <c r="F54" s="149">
        <v>0.02</v>
      </c>
      <c r="G54" s="149">
        <v>0.02</v>
      </c>
    </row>
    <row r="55" spans="1:7" x14ac:dyDescent="0.2">
      <c r="A55" s="150" t="s">
        <v>564</v>
      </c>
      <c r="B55" s="151">
        <v>0.153</v>
      </c>
      <c r="C55" s="151">
        <v>0.14023023799034218</v>
      </c>
      <c r="D55" s="151">
        <v>0.14016733762560638</v>
      </c>
      <c r="E55" s="151">
        <v>0.1399927406493236</v>
      </c>
      <c r="F55" s="151">
        <v>0.139909209021125</v>
      </c>
      <c r="G55" s="151">
        <v>0.13988097682913112</v>
      </c>
    </row>
    <row r="56" spans="1:7" x14ac:dyDescent="0.2">
      <c r="A56" s="150"/>
      <c r="B56" s="151"/>
      <c r="C56" s="151"/>
      <c r="D56" s="151"/>
      <c r="E56" s="151"/>
      <c r="F56" s="151"/>
      <c r="G56" s="151"/>
    </row>
    <row r="57" spans="1:7" x14ac:dyDescent="0.2">
      <c r="A57" s="150" t="s">
        <v>565</v>
      </c>
      <c r="B57" s="151">
        <v>6.5000000000000002E-2</v>
      </c>
      <c r="C57" s="151">
        <v>6.5000000000000002E-2</v>
      </c>
      <c r="D57" s="151">
        <v>6.5000000000000002E-2</v>
      </c>
      <c r="E57" s="151">
        <v>6.5000000000000002E-2</v>
      </c>
      <c r="F57" s="151">
        <v>6.5000000000000002E-2</v>
      </c>
      <c r="G57" s="151">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J135"/>
  <sheetViews>
    <sheetView workbookViewId="0">
      <selection activeCell="A7" sqref="A7:I135"/>
    </sheetView>
  </sheetViews>
  <sheetFormatPr defaultColWidth="9.140625" defaultRowHeight="14.25" x14ac:dyDescent="0.2"/>
  <cols>
    <col min="1" max="1" width="4.7109375" style="133" customWidth="1"/>
    <col min="2" max="2" width="58.28515625" style="133" customWidth="1"/>
    <col min="3" max="7" width="24.5703125" style="133" customWidth="1"/>
    <col min="8" max="8" width="22" style="133" customWidth="1"/>
    <col min="9" max="9" width="14.85546875" style="133" bestFit="1" customWidth="1"/>
    <col min="10" max="10" width="18.42578125" style="133" customWidth="1"/>
    <col min="11" max="16384" width="9.140625" style="133"/>
  </cols>
  <sheetData>
    <row r="2" spans="1:10" s="153" customFormat="1" ht="6" customHeight="1" x14ac:dyDescent="0.2"/>
    <row r="3" spans="1:10" ht="18" x14ac:dyDescent="0.25">
      <c r="A3" s="136" t="s">
        <v>529</v>
      </c>
      <c r="J3" s="153"/>
    </row>
    <row r="4" spans="1:10" ht="15.75" x14ac:dyDescent="0.25">
      <c r="A4" s="154" t="s">
        <v>513</v>
      </c>
      <c r="J4" s="153"/>
    </row>
    <row r="5" spans="1:10" ht="18" x14ac:dyDescent="0.25">
      <c r="A5" s="136"/>
      <c r="J5" s="153"/>
    </row>
    <row r="6" spans="1:10" ht="22.5" customHeight="1" x14ac:dyDescent="0.2">
      <c r="A6" s="428" t="s">
        <v>190</v>
      </c>
      <c r="B6" s="429"/>
      <c r="C6" s="246" t="s">
        <v>191</v>
      </c>
      <c r="D6" s="246" t="s">
        <v>600</v>
      </c>
      <c r="E6" s="246" t="s">
        <v>687</v>
      </c>
      <c r="F6" s="246" t="s">
        <v>688</v>
      </c>
      <c r="G6" s="246" t="s">
        <v>689</v>
      </c>
      <c r="H6" s="246" t="s">
        <v>694</v>
      </c>
      <c r="I6" s="247" t="s">
        <v>192</v>
      </c>
      <c r="J6" s="153"/>
    </row>
    <row r="7" spans="1:10" ht="33.75" x14ac:dyDescent="0.2">
      <c r="A7" s="155">
        <v>1</v>
      </c>
      <c r="B7" s="156" t="s">
        <v>193</v>
      </c>
      <c r="C7" s="157">
        <v>970.79169425000009</v>
      </c>
      <c r="D7" s="157">
        <v>970.79169425000009</v>
      </c>
      <c r="E7" s="157">
        <v>973.04046425000013</v>
      </c>
      <c r="F7" s="157">
        <v>973.21003525000003</v>
      </c>
      <c r="G7" s="157">
        <v>973.28570525000009</v>
      </c>
      <c r="H7" s="157">
        <v>973.52710825000008</v>
      </c>
      <c r="I7" s="158" t="s">
        <v>194</v>
      </c>
      <c r="J7" s="153"/>
    </row>
    <row r="8" spans="1:10" ht="22.5" x14ac:dyDescent="0.2">
      <c r="A8" s="155"/>
      <c r="B8" s="156" t="s">
        <v>195</v>
      </c>
      <c r="C8" s="159"/>
      <c r="D8" s="159"/>
      <c r="E8" s="159"/>
      <c r="F8" s="159"/>
      <c r="G8" s="159"/>
      <c r="H8" s="159"/>
      <c r="I8" s="158" t="s">
        <v>196</v>
      </c>
      <c r="J8" s="153"/>
    </row>
    <row r="9" spans="1:10" ht="22.5" x14ac:dyDescent="0.2">
      <c r="A9" s="155"/>
      <c r="B9" s="156" t="s">
        <v>197</v>
      </c>
      <c r="C9" s="159"/>
      <c r="D9" s="159"/>
      <c r="E9" s="159"/>
      <c r="F9" s="159"/>
      <c r="G9" s="159"/>
      <c r="H9" s="159"/>
      <c r="I9" s="158" t="s">
        <v>196</v>
      </c>
      <c r="J9" s="153"/>
    </row>
    <row r="10" spans="1:10" ht="22.5" x14ac:dyDescent="0.2">
      <c r="A10" s="155"/>
      <c r="B10" s="156" t="s">
        <v>198</v>
      </c>
      <c r="C10" s="159"/>
      <c r="D10" s="159"/>
      <c r="E10" s="159"/>
      <c r="F10" s="159"/>
      <c r="G10" s="159"/>
      <c r="H10" s="159"/>
      <c r="I10" s="158" t="s">
        <v>196</v>
      </c>
      <c r="J10" s="153"/>
    </row>
    <row r="11" spans="1:10" ht="15" x14ac:dyDescent="0.2">
      <c r="A11" s="155">
        <v>2</v>
      </c>
      <c r="B11" s="156" t="s">
        <v>199</v>
      </c>
      <c r="C11" s="157">
        <v>834.2067910924028</v>
      </c>
      <c r="D11" s="157">
        <v>879.99745832000019</v>
      </c>
      <c r="E11" s="157">
        <v>952.76783010000008</v>
      </c>
      <c r="F11" s="157">
        <v>1020.9693780900005</v>
      </c>
      <c r="G11" s="157">
        <v>1085.7312417600001</v>
      </c>
      <c r="H11" s="157">
        <v>1144.7990243500001</v>
      </c>
      <c r="I11" s="158" t="s">
        <v>200</v>
      </c>
      <c r="J11" s="153"/>
    </row>
    <row r="12" spans="1:10" ht="15" x14ac:dyDescent="0.2">
      <c r="A12" s="155">
        <v>3</v>
      </c>
      <c r="B12" s="156" t="s">
        <v>201</v>
      </c>
      <c r="C12" s="159"/>
      <c r="D12" s="159"/>
      <c r="E12" s="159"/>
      <c r="F12" s="159"/>
      <c r="G12" s="159"/>
      <c r="H12" s="159"/>
      <c r="I12" s="158" t="s">
        <v>202</v>
      </c>
      <c r="J12" s="153"/>
    </row>
    <row r="13" spans="1:10" x14ac:dyDescent="0.2">
      <c r="A13" s="155" t="s">
        <v>203</v>
      </c>
      <c r="B13" s="156" t="s">
        <v>204</v>
      </c>
      <c r="C13" s="159"/>
      <c r="D13" s="159"/>
      <c r="E13" s="159"/>
      <c r="F13" s="159"/>
      <c r="G13" s="159"/>
      <c r="H13" s="159"/>
      <c r="I13" s="158" t="s">
        <v>205</v>
      </c>
    </row>
    <row r="14" spans="1:10" ht="22.5" x14ac:dyDescent="0.2">
      <c r="A14" s="155">
        <v>4</v>
      </c>
      <c r="B14" s="156" t="s">
        <v>206</v>
      </c>
      <c r="C14" s="159"/>
      <c r="D14" s="159"/>
      <c r="E14" s="159"/>
      <c r="F14" s="159"/>
      <c r="G14" s="159"/>
      <c r="H14" s="159"/>
      <c r="I14" s="158" t="s">
        <v>207</v>
      </c>
    </row>
    <row r="15" spans="1:10" x14ac:dyDescent="0.2">
      <c r="A15" s="155"/>
      <c r="B15" s="156" t="s">
        <v>208</v>
      </c>
      <c r="C15" s="159"/>
      <c r="D15" s="159"/>
      <c r="E15" s="159"/>
      <c r="F15" s="159"/>
      <c r="G15" s="159"/>
      <c r="H15" s="159"/>
      <c r="I15" s="158" t="s">
        <v>209</v>
      </c>
    </row>
    <row r="16" spans="1:10" ht="22.5" x14ac:dyDescent="0.2">
      <c r="A16" s="155">
        <v>5</v>
      </c>
      <c r="B16" s="156" t="s">
        <v>210</v>
      </c>
      <c r="C16" s="159"/>
      <c r="D16" s="159"/>
      <c r="E16" s="159"/>
      <c r="F16" s="159"/>
      <c r="G16" s="159"/>
      <c r="H16" s="159"/>
      <c r="I16" s="158" t="s">
        <v>211</v>
      </c>
    </row>
    <row r="17" spans="1:9" x14ac:dyDescent="0.2">
      <c r="A17" s="155" t="s">
        <v>212</v>
      </c>
      <c r="B17" s="156" t="s">
        <v>213</v>
      </c>
      <c r="C17" s="159"/>
      <c r="D17" s="159"/>
      <c r="E17" s="159"/>
      <c r="F17" s="159"/>
      <c r="G17" s="159">
        <v>-78.479159639999992</v>
      </c>
      <c r="H17" s="159">
        <v>-161.80725911796497</v>
      </c>
      <c r="I17" s="158" t="s">
        <v>214</v>
      </c>
    </row>
    <row r="18" spans="1:9" x14ac:dyDescent="0.2">
      <c r="A18" s="160">
        <v>6</v>
      </c>
      <c r="B18" s="161" t="s">
        <v>215</v>
      </c>
      <c r="C18" s="162">
        <v>1804.998485342403</v>
      </c>
      <c r="D18" s="162">
        <v>1850.7891525700002</v>
      </c>
      <c r="E18" s="162">
        <v>1925.8082943500003</v>
      </c>
      <c r="F18" s="162">
        <v>1994.1794133400006</v>
      </c>
      <c r="G18" s="162">
        <v>1980.5377873699999</v>
      </c>
      <c r="H18" s="162">
        <v>1956.5188734820351</v>
      </c>
      <c r="I18" s="163">
        <v>0</v>
      </c>
    </row>
    <row r="19" spans="1:9" x14ac:dyDescent="0.2">
      <c r="A19" s="164" t="s">
        <v>216</v>
      </c>
      <c r="B19" s="165"/>
      <c r="C19" s="166"/>
      <c r="D19" s="283"/>
      <c r="E19" s="283"/>
      <c r="F19" s="283"/>
      <c r="G19" s="283"/>
      <c r="H19" s="283"/>
      <c r="I19" s="167"/>
    </row>
    <row r="20" spans="1:9" x14ac:dyDescent="0.2">
      <c r="A20" s="168">
        <v>7</v>
      </c>
      <c r="B20" s="169" t="s">
        <v>217</v>
      </c>
      <c r="C20" s="170">
        <v>-1.32977906364</v>
      </c>
      <c r="D20" s="170">
        <v>-1.0055609623699999</v>
      </c>
      <c r="E20" s="170">
        <v>-1.49820277513</v>
      </c>
      <c r="F20" s="170">
        <v>-2.5852016350800002</v>
      </c>
      <c r="G20" s="170">
        <v>-1.84802476605</v>
      </c>
      <c r="H20" s="170">
        <v>-1.84802476605</v>
      </c>
      <c r="I20" s="171" t="s">
        <v>218</v>
      </c>
    </row>
    <row r="21" spans="1:9" ht="22.5" x14ac:dyDescent="0.2">
      <c r="A21" s="155">
        <v>8</v>
      </c>
      <c r="B21" s="156" t="s">
        <v>219</v>
      </c>
      <c r="C21" s="159">
        <v>-144.07205134</v>
      </c>
      <c r="D21" s="159">
        <v>-145.51496675000001</v>
      </c>
      <c r="E21" s="159">
        <v>-151.88384152999996</v>
      </c>
      <c r="F21" s="159">
        <v>-151.94825282999997</v>
      </c>
      <c r="G21" s="159">
        <v>-154.20006535000002</v>
      </c>
      <c r="H21" s="159">
        <v>-151.36952010578</v>
      </c>
      <c r="I21" s="158" t="s">
        <v>220</v>
      </c>
    </row>
    <row r="22" spans="1:9" x14ac:dyDescent="0.2">
      <c r="A22" s="155">
        <v>9</v>
      </c>
      <c r="B22" s="156" t="s">
        <v>221</v>
      </c>
      <c r="C22" s="159"/>
      <c r="D22" s="159"/>
      <c r="E22" s="159"/>
      <c r="F22" s="159"/>
      <c r="G22" s="159"/>
      <c r="H22" s="159"/>
      <c r="I22" s="158">
        <v>0</v>
      </c>
    </row>
    <row r="23" spans="1:9" ht="33.75" x14ac:dyDescent="0.2">
      <c r="A23" s="155">
        <v>10</v>
      </c>
      <c r="B23" s="156" t="s">
        <v>222</v>
      </c>
      <c r="C23" s="172"/>
      <c r="D23" s="172"/>
      <c r="E23" s="172"/>
      <c r="F23" s="172"/>
      <c r="G23" s="172"/>
      <c r="H23" s="172"/>
      <c r="I23" s="158" t="s">
        <v>223</v>
      </c>
    </row>
    <row r="24" spans="1:9" x14ac:dyDescent="0.2">
      <c r="A24" s="155">
        <v>11</v>
      </c>
      <c r="B24" s="156" t="s">
        <v>224</v>
      </c>
      <c r="C24" s="170"/>
      <c r="D24" s="170"/>
      <c r="E24" s="170"/>
      <c r="F24" s="170"/>
      <c r="G24" s="170"/>
      <c r="H24" s="170"/>
      <c r="I24" s="158" t="s">
        <v>225</v>
      </c>
    </row>
    <row r="25" spans="1:9" ht="33.75" x14ac:dyDescent="0.2">
      <c r="A25" s="155">
        <v>12</v>
      </c>
      <c r="B25" s="156" t="s">
        <v>226</v>
      </c>
      <c r="C25" s="170"/>
      <c r="D25" s="170"/>
      <c r="E25" s="170"/>
      <c r="F25" s="170"/>
      <c r="G25" s="170"/>
      <c r="H25" s="170"/>
      <c r="I25" s="158" t="s">
        <v>227</v>
      </c>
    </row>
    <row r="26" spans="1:9" x14ac:dyDescent="0.2">
      <c r="A26" s="155">
        <v>13</v>
      </c>
      <c r="B26" s="156" t="s">
        <v>228</v>
      </c>
      <c r="C26" s="170"/>
      <c r="D26" s="170"/>
      <c r="E26" s="170"/>
      <c r="F26" s="170"/>
      <c r="G26" s="170"/>
      <c r="H26" s="170"/>
      <c r="I26" s="158" t="s">
        <v>229</v>
      </c>
    </row>
    <row r="27" spans="1:9" ht="22.5" x14ac:dyDescent="0.2">
      <c r="A27" s="155">
        <v>14</v>
      </c>
      <c r="B27" s="156" t="s">
        <v>230</v>
      </c>
      <c r="C27" s="170"/>
      <c r="D27" s="170"/>
      <c r="E27" s="170"/>
      <c r="F27" s="170"/>
      <c r="G27" s="170"/>
      <c r="H27" s="170"/>
      <c r="I27" s="158" t="s">
        <v>231</v>
      </c>
    </row>
    <row r="28" spans="1:9" ht="22.5" x14ac:dyDescent="0.2">
      <c r="A28" s="155">
        <v>15</v>
      </c>
      <c r="B28" s="156" t="s">
        <v>232</v>
      </c>
      <c r="C28" s="170"/>
      <c r="D28" s="170"/>
      <c r="E28" s="170"/>
      <c r="F28" s="170"/>
      <c r="G28" s="170"/>
      <c r="H28" s="170"/>
      <c r="I28" s="158" t="s">
        <v>233</v>
      </c>
    </row>
    <row r="29" spans="1:9" ht="22.5" x14ac:dyDescent="0.2">
      <c r="A29" s="155">
        <v>16</v>
      </c>
      <c r="B29" s="156" t="s">
        <v>234</v>
      </c>
      <c r="C29" s="173"/>
      <c r="D29" s="173"/>
      <c r="E29" s="173"/>
      <c r="F29" s="173"/>
      <c r="G29" s="173"/>
      <c r="H29" s="173"/>
      <c r="I29" s="158" t="s">
        <v>235</v>
      </c>
    </row>
    <row r="30" spans="1:9" ht="33.75" x14ac:dyDescent="0.2">
      <c r="A30" s="155">
        <v>17</v>
      </c>
      <c r="B30" s="156" t="s">
        <v>236</v>
      </c>
      <c r="C30" s="159"/>
      <c r="D30" s="159"/>
      <c r="E30" s="159"/>
      <c r="F30" s="159"/>
      <c r="G30" s="159"/>
      <c r="H30" s="159"/>
      <c r="I30" s="158" t="s">
        <v>237</v>
      </c>
    </row>
    <row r="31" spans="1:9" ht="56.25" x14ac:dyDescent="0.2">
      <c r="A31" s="155">
        <v>18</v>
      </c>
      <c r="B31" s="156" t="s">
        <v>238</v>
      </c>
      <c r="C31" s="159"/>
      <c r="D31" s="159"/>
      <c r="E31" s="159"/>
      <c r="F31" s="159"/>
      <c r="G31" s="159"/>
      <c r="H31" s="159"/>
      <c r="I31" s="158" t="s">
        <v>239</v>
      </c>
    </row>
    <row r="32" spans="1:9" ht="78.75" x14ac:dyDescent="0.2">
      <c r="A32" s="155">
        <v>19</v>
      </c>
      <c r="B32" s="156" t="s">
        <v>240</v>
      </c>
      <c r="C32" s="159"/>
      <c r="D32" s="159"/>
      <c r="E32" s="159"/>
      <c r="F32" s="159"/>
      <c r="G32" s="159"/>
      <c r="H32" s="159"/>
      <c r="I32" s="158" t="s">
        <v>241</v>
      </c>
    </row>
    <row r="33" spans="1:9" x14ac:dyDescent="0.2">
      <c r="A33" s="155">
        <v>20</v>
      </c>
      <c r="B33" s="156" t="s">
        <v>221</v>
      </c>
      <c r="C33" s="159"/>
      <c r="D33" s="159"/>
      <c r="E33" s="159"/>
      <c r="F33" s="159"/>
      <c r="G33" s="159"/>
      <c r="H33" s="159"/>
      <c r="I33" s="158">
        <v>0</v>
      </c>
    </row>
    <row r="34" spans="1:9" ht="22.5" x14ac:dyDescent="0.2">
      <c r="A34" s="155" t="s">
        <v>242</v>
      </c>
      <c r="B34" s="156" t="s">
        <v>243</v>
      </c>
      <c r="C34" s="159"/>
      <c r="D34" s="159"/>
      <c r="E34" s="159"/>
      <c r="F34" s="159"/>
      <c r="G34" s="159"/>
      <c r="H34" s="159"/>
      <c r="I34" s="158" t="s">
        <v>244</v>
      </c>
    </row>
    <row r="35" spans="1:9" ht="22.5" x14ac:dyDescent="0.2">
      <c r="A35" s="155" t="s">
        <v>245</v>
      </c>
      <c r="B35" s="156" t="s">
        <v>246</v>
      </c>
      <c r="C35" s="159"/>
      <c r="D35" s="159"/>
      <c r="E35" s="159"/>
      <c r="F35" s="159"/>
      <c r="G35" s="159"/>
      <c r="H35" s="159"/>
      <c r="I35" s="158" t="s">
        <v>247</v>
      </c>
    </row>
    <row r="36" spans="1:9" ht="56.25" x14ac:dyDescent="0.2">
      <c r="A36" s="155" t="s">
        <v>248</v>
      </c>
      <c r="B36" s="156" t="s">
        <v>249</v>
      </c>
      <c r="C36" s="159"/>
      <c r="D36" s="159"/>
      <c r="E36" s="159"/>
      <c r="F36" s="159"/>
      <c r="G36" s="159"/>
      <c r="H36" s="159"/>
      <c r="I36" s="158" t="s">
        <v>250</v>
      </c>
    </row>
    <row r="37" spans="1:9" ht="22.5" x14ac:dyDescent="0.2">
      <c r="A37" s="155" t="s">
        <v>251</v>
      </c>
      <c r="B37" s="156" t="s">
        <v>252</v>
      </c>
      <c r="C37" s="159"/>
      <c r="D37" s="159"/>
      <c r="E37" s="159"/>
      <c r="F37" s="159"/>
      <c r="G37" s="159"/>
      <c r="H37" s="159"/>
      <c r="I37" s="158" t="s">
        <v>253</v>
      </c>
    </row>
    <row r="38" spans="1:9" ht="45" x14ac:dyDescent="0.2">
      <c r="A38" s="155">
        <v>21</v>
      </c>
      <c r="B38" s="156" t="s">
        <v>254</v>
      </c>
      <c r="C38" s="159"/>
      <c r="D38" s="159"/>
      <c r="E38" s="159"/>
      <c r="F38" s="159"/>
      <c r="G38" s="159"/>
      <c r="H38" s="159"/>
      <c r="I38" s="158" t="s">
        <v>255</v>
      </c>
    </row>
    <row r="39" spans="1:9" x14ac:dyDescent="0.2">
      <c r="A39" s="155">
        <v>22</v>
      </c>
      <c r="B39" s="156" t="s">
        <v>256</v>
      </c>
      <c r="C39" s="159"/>
      <c r="D39" s="159"/>
      <c r="E39" s="159"/>
      <c r="F39" s="159"/>
      <c r="G39" s="159"/>
      <c r="H39" s="159"/>
      <c r="I39" s="158" t="s">
        <v>257</v>
      </c>
    </row>
    <row r="40" spans="1:9" ht="45" x14ac:dyDescent="0.2">
      <c r="A40" s="155">
        <v>23</v>
      </c>
      <c r="B40" s="156" t="s">
        <v>258</v>
      </c>
      <c r="C40" s="159"/>
      <c r="D40" s="159"/>
      <c r="E40" s="159"/>
      <c r="F40" s="159"/>
      <c r="G40" s="159"/>
      <c r="H40" s="159"/>
      <c r="I40" s="158" t="s">
        <v>259</v>
      </c>
    </row>
    <row r="41" spans="1:9" x14ac:dyDescent="0.2">
      <c r="A41" s="155">
        <v>24</v>
      </c>
      <c r="B41" s="156" t="s">
        <v>221</v>
      </c>
      <c r="C41" s="159"/>
      <c r="D41" s="159"/>
      <c r="E41" s="159"/>
      <c r="F41" s="159"/>
      <c r="G41" s="159"/>
      <c r="H41" s="159"/>
      <c r="I41" s="158">
        <v>0</v>
      </c>
    </row>
    <row r="42" spans="1:9" ht="45" x14ac:dyDescent="0.2">
      <c r="A42" s="155">
        <v>25</v>
      </c>
      <c r="B42" s="156" t="s">
        <v>260</v>
      </c>
      <c r="C42" s="159"/>
      <c r="D42" s="159"/>
      <c r="E42" s="159"/>
      <c r="F42" s="159"/>
      <c r="G42" s="159"/>
      <c r="H42" s="159"/>
      <c r="I42" s="158" t="s">
        <v>255</v>
      </c>
    </row>
    <row r="43" spans="1:9" ht="22.5" x14ac:dyDescent="0.2">
      <c r="A43" s="155" t="s">
        <v>261</v>
      </c>
      <c r="B43" s="156" t="s">
        <v>262</v>
      </c>
      <c r="C43" s="159"/>
      <c r="D43" s="159"/>
      <c r="E43" s="159"/>
      <c r="F43" s="159"/>
      <c r="G43" s="159"/>
      <c r="H43" s="159"/>
      <c r="I43" s="158" t="s">
        <v>263</v>
      </c>
    </row>
    <row r="44" spans="1:9" x14ac:dyDescent="0.2">
      <c r="A44" s="155" t="s">
        <v>264</v>
      </c>
      <c r="B44" s="156" t="s">
        <v>265</v>
      </c>
      <c r="C44" s="159"/>
      <c r="D44" s="159"/>
      <c r="E44" s="159"/>
      <c r="F44" s="159"/>
      <c r="G44" s="159"/>
      <c r="H44" s="159"/>
      <c r="I44" s="158" t="s">
        <v>266</v>
      </c>
    </row>
    <row r="45" spans="1:9" ht="22.5" x14ac:dyDescent="0.2">
      <c r="A45" s="155">
        <v>26</v>
      </c>
      <c r="B45" s="156" t="s">
        <v>267</v>
      </c>
      <c r="C45" s="159"/>
      <c r="D45" s="159"/>
      <c r="E45" s="159"/>
      <c r="F45" s="159"/>
      <c r="G45" s="159"/>
      <c r="H45" s="159"/>
      <c r="I45" s="158">
        <v>0</v>
      </c>
    </row>
    <row r="46" spans="1:9" ht="22.5" x14ac:dyDescent="0.2">
      <c r="A46" s="155" t="s">
        <v>268</v>
      </c>
      <c r="B46" s="156" t="s">
        <v>269</v>
      </c>
      <c r="C46" s="159"/>
      <c r="D46" s="159"/>
      <c r="E46" s="159"/>
      <c r="F46" s="159"/>
      <c r="G46" s="159"/>
      <c r="H46" s="159"/>
      <c r="I46" s="158">
        <v>0</v>
      </c>
    </row>
    <row r="47" spans="1:9" x14ac:dyDescent="0.2">
      <c r="A47" s="155"/>
      <c r="B47" s="156" t="s">
        <v>270</v>
      </c>
      <c r="C47" s="159"/>
      <c r="D47" s="159"/>
      <c r="E47" s="159"/>
      <c r="F47" s="159"/>
      <c r="G47" s="159"/>
      <c r="H47" s="159"/>
      <c r="I47" s="158">
        <v>0</v>
      </c>
    </row>
    <row r="48" spans="1:9" x14ac:dyDescent="0.2">
      <c r="A48" s="155"/>
      <c r="B48" s="156" t="s">
        <v>271</v>
      </c>
      <c r="C48" s="159"/>
      <c r="D48" s="159"/>
      <c r="E48" s="159"/>
      <c r="F48" s="159"/>
      <c r="G48" s="159"/>
      <c r="H48" s="159"/>
      <c r="I48" s="158">
        <v>0</v>
      </c>
    </row>
    <row r="49" spans="1:9" x14ac:dyDescent="0.2">
      <c r="A49" s="155"/>
      <c r="B49" s="156" t="s">
        <v>272</v>
      </c>
      <c r="C49" s="159"/>
      <c r="D49" s="159"/>
      <c r="E49" s="159"/>
      <c r="F49" s="159"/>
      <c r="G49" s="159"/>
      <c r="H49" s="159"/>
      <c r="I49" s="158">
        <v>0</v>
      </c>
    </row>
    <row r="50" spans="1:9" x14ac:dyDescent="0.2">
      <c r="A50" s="155"/>
      <c r="B50" s="156" t="s">
        <v>273</v>
      </c>
      <c r="C50" s="159"/>
      <c r="D50" s="159"/>
      <c r="E50" s="159"/>
      <c r="F50" s="159"/>
      <c r="G50" s="159"/>
      <c r="H50" s="159"/>
      <c r="I50" s="158">
        <v>0</v>
      </c>
    </row>
    <row r="51" spans="1:9" ht="22.5" x14ac:dyDescent="0.2">
      <c r="A51" s="155" t="s">
        <v>274</v>
      </c>
      <c r="B51" s="156" t="s">
        <v>275</v>
      </c>
      <c r="C51" s="159">
        <v>194.29714705243907</v>
      </c>
      <c r="D51" s="159">
        <v>189.22599694264929</v>
      </c>
      <c r="E51" s="159">
        <v>174.6298422199726</v>
      </c>
      <c r="F51" s="159">
        <v>176.25840188795783</v>
      </c>
      <c r="G51" s="159">
        <v>159.4077594102026</v>
      </c>
      <c r="H51" s="159">
        <v>94.388123948871524</v>
      </c>
      <c r="I51" s="158">
        <v>481</v>
      </c>
    </row>
    <row r="52" spans="1:9" ht="22.5" x14ac:dyDescent="0.2">
      <c r="A52" s="155">
        <v>27</v>
      </c>
      <c r="B52" s="156" t="s">
        <v>276</v>
      </c>
      <c r="C52" s="159"/>
      <c r="D52" s="159"/>
      <c r="E52" s="159"/>
      <c r="F52" s="159"/>
      <c r="G52" s="159"/>
      <c r="H52" s="159"/>
      <c r="I52" s="158" t="s">
        <v>277</v>
      </c>
    </row>
    <row r="53" spans="1:9" x14ac:dyDescent="0.2">
      <c r="A53" s="155">
        <v>28</v>
      </c>
      <c r="B53" s="174" t="s">
        <v>278</v>
      </c>
      <c r="C53" s="159">
        <v>48.895316648799081</v>
      </c>
      <c r="D53" s="159">
        <v>42.705469230279277</v>
      </c>
      <c r="E53" s="159">
        <v>21.247797914842636</v>
      </c>
      <c r="F53" s="159">
        <v>21.724947422877847</v>
      </c>
      <c r="G53" s="159">
        <v>3.3596692941525816</v>
      </c>
      <c r="H53" s="159">
        <v>-58.829420922958477</v>
      </c>
      <c r="I53" s="158">
        <v>0</v>
      </c>
    </row>
    <row r="54" spans="1:9" x14ac:dyDescent="0.2">
      <c r="A54" s="155">
        <v>29</v>
      </c>
      <c r="B54" s="174" t="s">
        <v>279</v>
      </c>
      <c r="C54" s="159">
        <v>1853.8938019912021</v>
      </c>
      <c r="D54" s="159">
        <v>1893.4946218002794</v>
      </c>
      <c r="E54" s="159">
        <v>1947.0560922648428</v>
      </c>
      <c r="F54" s="159">
        <v>2015.9043607628785</v>
      </c>
      <c r="G54" s="159">
        <v>1983.8974566641525</v>
      </c>
      <c r="H54" s="159">
        <v>1897.6894525590767</v>
      </c>
      <c r="I54" s="158">
        <v>0</v>
      </c>
    </row>
    <row r="55" spans="1:9" x14ac:dyDescent="0.2">
      <c r="A55" s="175" t="s">
        <v>280</v>
      </c>
      <c r="B55" s="176"/>
      <c r="C55" s="177"/>
      <c r="D55" s="177"/>
      <c r="E55" s="177"/>
      <c r="F55" s="177"/>
      <c r="G55" s="177"/>
      <c r="H55" s="177"/>
      <c r="I55" s="178"/>
    </row>
    <row r="56" spans="1:9" x14ac:dyDescent="0.2">
      <c r="A56" s="155">
        <v>30</v>
      </c>
      <c r="B56" s="156" t="s">
        <v>193</v>
      </c>
      <c r="C56" s="159">
        <v>44.55</v>
      </c>
      <c r="D56" s="159">
        <v>44.55</v>
      </c>
      <c r="E56" s="159">
        <v>244.55</v>
      </c>
      <c r="F56" s="159">
        <v>244.55</v>
      </c>
      <c r="G56" s="159">
        <v>244.55</v>
      </c>
      <c r="H56" s="159">
        <v>199.55</v>
      </c>
      <c r="I56" s="158" t="s">
        <v>281</v>
      </c>
    </row>
    <row r="57" spans="1:9" x14ac:dyDescent="0.2">
      <c r="A57" s="155">
        <v>31</v>
      </c>
      <c r="B57" s="156" t="s">
        <v>282</v>
      </c>
      <c r="C57" s="159">
        <v>44.55</v>
      </c>
      <c r="D57" s="159">
        <v>44.55</v>
      </c>
      <c r="E57" s="159">
        <v>244.55</v>
      </c>
      <c r="F57" s="159">
        <v>244.55</v>
      </c>
      <c r="G57" s="159">
        <v>244.55</v>
      </c>
      <c r="H57" s="159">
        <v>199.55</v>
      </c>
      <c r="I57" s="158">
        <v>0</v>
      </c>
    </row>
    <row r="58" spans="1:9" x14ac:dyDescent="0.2">
      <c r="A58" s="155">
        <v>32</v>
      </c>
      <c r="B58" s="156" t="s">
        <v>283</v>
      </c>
      <c r="C58" s="159">
        <v>0</v>
      </c>
      <c r="D58" s="159">
        <v>0</v>
      </c>
      <c r="E58" s="159">
        <v>0</v>
      </c>
      <c r="F58" s="159">
        <v>0</v>
      </c>
      <c r="G58" s="159">
        <v>0</v>
      </c>
      <c r="H58" s="159">
        <v>0</v>
      </c>
      <c r="I58" s="158">
        <v>0</v>
      </c>
    </row>
    <row r="59" spans="1:9" ht="22.5" x14ac:dyDescent="0.2">
      <c r="A59" s="155">
        <v>33</v>
      </c>
      <c r="B59" s="156" t="s">
        <v>284</v>
      </c>
      <c r="C59" s="159"/>
      <c r="D59" s="159"/>
      <c r="E59" s="159"/>
      <c r="F59" s="159"/>
      <c r="G59" s="159"/>
      <c r="H59" s="159"/>
      <c r="I59" s="158" t="s">
        <v>285</v>
      </c>
    </row>
    <row r="60" spans="1:9" x14ac:dyDescent="0.2">
      <c r="A60" s="155"/>
      <c r="B60" s="156" t="s">
        <v>208</v>
      </c>
      <c r="C60" s="159"/>
      <c r="D60" s="159"/>
      <c r="E60" s="159"/>
      <c r="F60" s="159"/>
      <c r="G60" s="159"/>
      <c r="H60" s="159"/>
      <c r="I60" s="158" t="s">
        <v>286</v>
      </c>
    </row>
    <row r="61" spans="1:9" ht="22.5" x14ac:dyDescent="0.2">
      <c r="A61" s="155">
        <v>34</v>
      </c>
      <c r="B61" s="156" t="s">
        <v>287</v>
      </c>
      <c r="C61" s="159"/>
      <c r="D61" s="159"/>
      <c r="E61" s="159"/>
      <c r="F61" s="159"/>
      <c r="G61" s="159"/>
      <c r="H61" s="159"/>
      <c r="I61" s="158" t="s">
        <v>288</v>
      </c>
    </row>
    <row r="62" spans="1:9" x14ac:dyDescent="0.2">
      <c r="A62" s="155">
        <v>35</v>
      </c>
      <c r="B62" s="156" t="s">
        <v>289</v>
      </c>
      <c r="C62" s="159"/>
      <c r="D62" s="159"/>
      <c r="E62" s="159"/>
      <c r="F62" s="159"/>
      <c r="G62" s="159"/>
      <c r="H62" s="159"/>
      <c r="I62" s="158" t="s">
        <v>285</v>
      </c>
    </row>
    <row r="63" spans="1:9" x14ac:dyDescent="0.2">
      <c r="A63" s="155">
        <v>36</v>
      </c>
      <c r="B63" s="174" t="s">
        <v>290</v>
      </c>
      <c r="C63" s="159">
        <v>44.55</v>
      </c>
      <c r="D63" s="159">
        <v>44.55</v>
      </c>
      <c r="E63" s="159">
        <v>244.55</v>
      </c>
      <c r="F63" s="159">
        <v>244.55</v>
      </c>
      <c r="G63" s="159">
        <v>244.55</v>
      </c>
      <c r="H63" s="159">
        <v>199.55</v>
      </c>
      <c r="I63" s="158">
        <v>0</v>
      </c>
    </row>
    <row r="64" spans="1:9" x14ac:dyDescent="0.2">
      <c r="A64" s="175" t="s">
        <v>291</v>
      </c>
      <c r="B64" s="176"/>
      <c r="C64" s="177"/>
      <c r="D64" s="177"/>
      <c r="E64" s="177"/>
      <c r="F64" s="177"/>
      <c r="G64" s="177"/>
      <c r="H64" s="177"/>
      <c r="I64" s="178"/>
    </row>
    <row r="65" spans="1:9" ht="33.75" x14ac:dyDescent="0.2">
      <c r="A65" s="155">
        <v>37</v>
      </c>
      <c r="B65" s="156" t="s">
        <v>292</v>
      </c>
      <c r="C65" s="159"/>
      <c r="D65" s="159"/>
      <c r="E65" s="159"/>
      <c r="F65" s="159"/>
      <c r="G65" s="159"/>
      <c r="H65" s="159"/>
      <c r="I65" s="158" t="s">
        <v>293</v>
      </c>
    </row>
    <row r="66" spans="1:9" ht="33.75" x14ac:dyDescent="0.2">
      <c r="A66" s="155">
        <v>38</v>
      </c>
      <c r="B66" s="156" t="s">
        <v>294</v>
      </c>
      <c r="C66" s="159"/>
      <c r="D66" s="159"/>
      <c r="E66" s="159"/>
      <c r="F66" s="159"/>
      <c r="G66" s="159"/>
      <c r="H66" s="159"/>
      <c r="I66" s="158" t="s">
        <v>295</v>
      </c>
    </row>
    <row r="67" spans="1:9" ht="45" x14ac:dyDescent="0.2">
      <c r="A67" s="155">
        <v>39</v>
      </c>
      <c r="B67" s="156" t="s">
        <v>296</v>
      </c>
      <c r="C67" s="159"/>
      <c r="D67" s="159"/>
      <c r="E67" s="159"/>
      <c r="F67" s="159"/>
      <c r="G67" s="159"/>
      <c r="H67" s="159"/>
      <c r="I67" s="158" t="s">
        <v>297</v>
      </c>
    </row>
    <row r="68" spans="1:9" ht="45" x14ac:dyDescent="0.2">
      <c r="A68" s="155">
        <v>40</v>
      </c>
      <c r="B68" s="156" t="s">
        <v>298</v>
      </c>
      <c r="C68" s="159"/>
      <c r="D68" s="159"/>
      <c r="E68" s="159"/>
      <c r="F68" s="159"/>
      <c r="G68" s="159"/>
      <c r="H68" s="159"/>
      <c r="I68" s="158" t="s">
        <v>299</v>
      </c>
    </row>
    <row r="69" spans="1:9" ht="33.75" x14ac:dyDescent="0.2">
      <c r="A69" s="155">
        <v>41</v>
      </c>
      <c r="B69" s="156" t="s">
        <v>300</v>
      </c>
      <c r="C69" s="159"/>
      <c r="D69" s="159"/>
      <c r="E69" s="159"/>
      <c r="F69" s="159"/>
      <c r="G69" s="159"/>
      <c r="H69" s="159"/>
      <c r="I69" s="158">
        <v>0</v>
      </c>
    </row>
    <row r="70" spans="1:9" ht="101.25" x14ac:dyDescent="0.2">
      <c r="A70" s="155" t="s">
        <v>301</v>
      </c>
      <c r="B70" s="156" t="s">
        <v>302</v>
      </c>
      <c r="C70" s="159"/>
      <c r="D70" s="159"/>
      <c r="E70" s="159"/>
      <c r="F70" s="159"/>
      <c r="G70" s="159"/>
      <c r="H70" s="159"/>
      <c r="I70" s="158" t="s">
        <v>303</v>
      </c>
    </row>
    <row r="71" spans="1:9" ht="33.75" x14ac:dyDescent="0.2">
      <c r="A71" s="155" t="s">
        <v>304</v>
      </c>
      <c r="B71" s="156" t="s">
        <v>305</v>
      </c>
      <c r="C71" s="159"/>
      <c r="D71" s="159"/>
      <c r="E71" s="159"/>
      <c r="F71" s="159"/>
      <c r="G71" s="159"/>
      <c r="H71" s="159"/>
      <c r="I71" s="158" t="s">
        <v>306</v>
      </c>
    </row>
    <row r="72" spans="1:9" ht="22.5" x14ac:dyDescent="0.2">
      <c r="A72" s="155" t="s">
        <v>307</v>
      </c>
      <c r="B72" s="156" t="s">
        <v>308</v>
      </c>
      <c r="C72" s="159"/>
      <c r="D72" s="159"/>
      <c r="E72" s="159"/>
      <c r="F72" s="159"/>
      <c r="G72" s="159"/>
      <c r="H72" s="159"/>
      <c r="I72" s="158" t="s">
        <v>309</v>
      </c>
    </row>
    <row r="73" spans="1:9" x14ac:dyDescent="0.2">
      <c r="A73" s="155"/>
      <c r="B73" s="156" t="s">
        <v>310</v>
      </c>
      <c r="C73" s="159"/>
      <c r="D73" s="159"/>
      <c r="E73" s="159"/>
      <c r="F73" s="159"/>
      <c r="G73" s="159"/>
      <c r="H73" s="159"/>
      <c r="I73" s="158">
        <v>0</v>
      </c>
    </row>
    <row r="74" spans="1:9" x14ac:dyDescent="0.2">
      <c r="A74" s="155"/>
      <c r="B74" s="156" t="s">
        <v>311</v>
      </c>
      <c r="C74" s="159"/>
      <c r="D74" s="159"/>
      <c r="E74" s="159"/>
      <c r="F74" s="159"/>
      <c r="G74" s="159"/>
      <c r="H74" s="159"/>
      <c r="I74" s="158">
        <v>0</v>
      </c>
    </row>
    <row r="75" spans="1:9" ht="22.5" x14ac:dyDescent="0.2">
      <c r="A75" s="155">
        <v>42</v>
      </c>
      <c r="B75" s="156" t="s">
        <v>312</v>
      </c>
      <c r="C75" s="159"/>
      <c r="D75" s="159"/>
      <c r="E75" s="159"/>
      <c r="F75" s="159"/>
      <c r="G75" s="159"/>
      <c r="H75" s="159"/>
      <c r="I75" s="179" t="s">
        <v>313</v>
      </c>
    </row>
    <row r="76" spans="1:9" x14ac:dyDescent="0.2">
      <c r="A76" s="155">
        <v>43</v>
      </c>
      <c r="B76" s="174" t="s">
        <v>314</v>
      </c>
      <c r="C76" s="159"/>
      <c r="D76" s="159"/>
      <c r="E76" s="159"/>
      <c r="F76" s="159"/>
      <c r="G76" s="159"/>
      <c r="H76" s="159"/>
      <c r="I76" s="158">
        <v>0</v>
      </c>
    </row>
    <row r="77" spans="1:9" x14ac:dyDescent="0.2">
      <c r="A77" s="155">
        <v>44</v>
      </c>
      <c r="B77" s="174" t="s">
        <v>315</v>
      </c>
      <c r="C77" s="159">
        <v>44.55</v>
      </c>
      <c r="D77" s="159">
        <v>44.55</v>
      </c>
      <c r="E77" s="159">
        <v>244.55</v>
      </c>
      <c r="F77" s="159">
        <v>244.55</v>
      </c>
      <c r="G77" s="159">
        <v>244.55</v>
      </c>
      <c r="H77" s="159">
        <v>199.55</v>
      </c>
      <c r="I77" s="158">
        <v>0</v>
      </c>
    </row>
    <row r="78" spans="1:9" x14ac:dyDescent="0.2">
      <c r="A78" s="155">
        <v>45</v>
      </c>
      <c r="B78" s="174" t="s">
        <v>316</v>
      </c>
      <c r="C78" s="159">
        <v>1898.443801991202</v>
      </c>
      <c r="D78" s="159">
        <v>1938.0446218002794</v>
      </c>
      <c r="E78" s="159">
        <v>2191.606092264843</v>
      </c>
      <c r="F78" s="159">
        <v>2260.4543607628784</v>
      </c>
      <c r="G78" s="159">
        <v>2228.4474566641525</v>
      </c>
      <c r="H78" s="159">
        <v>2097.2394525590767</v>
      </c>
      <c r="I78" s="158">
        <v>0</v>
      </c>
    </row>
    <row r="79" spans="1:9" x14ac:dyDescent="0.2">
      <c r="A79" s="180" t="s">
        <v>317</v>
      </c>
      <c r="B79" s="176"/>
      <c r="C79" s="177"/>
      <c r="D79" s="177"/>
      <c r="E79" s="177"/>
      <c r="F79" s="177"/>
      <c r="G79" s="177"/>
      <c r="H79" s="177"/>
      <c r="I79" s="178"/>
    </row>
    <row r="80" spans="1:9" x14ac:dyDescent="0.2">
      <c r="A80" s="155">
        <v>46</v>
      </c>
      <c r="B80" s="156" t="s">
        <v>193</v>
      </c>
      <c r="C80" s="159">
        <v>64.859166509999994</v>
      </c>
      <c r="D80" s="159">
        <v>64.891666499999999</v>
      </c>
      <c r="E80" s="159">
        <v>64.924166490000005</v>
      </c>
      <c r="F80" s="159">
        <v>64.956666479999996</v>
      </c>
      <c r="G80" s="159">
        <v>64.989166470000001</v>
      </c>
      <c r="H80" s="159">
        <v>106.8</v>
      </c>
      <c r="I80" s="158" t="s">
        <v>318</v>
      </c>
    </row>
    <row r="81" spans="1:9" ht="22.5" x14ac:dyDescent="0.2">
      <c r="A81" s="155">
        <v>47</v>
      </c>
      <c r="B81" s="156" t="s">
        <v>319</v>
      </c>
      <c r="C81" s="159"/>
      <c r="D81" s="159"/>
      <c r="E81" s="159"/>
      <c r="F81" s="159"/>
      <c r="G81" s="159"/>
      <c r="H81" s="159"/>
      <c r="I81" s="158" t="s">
        <v>320</v>
      </c>
    </row>
    <row r="82" spans="1:9" x14ac:dyDescent="0.2">
      <c r="A82" s="155"/>
      <c r="B82" s="156" t="s">
        <v>208</v>
      </c>
      <c r="C82" s="159"/>
      <c r="D82" s="159"/>
      <c r="E82" s="159"/>
      <c r="F82" s="159"/>
      <c r="G82" s="159"/>
      <c r="H82" s="159"/>
      <c r="I82" s="158" t="s">
        <v>321</v>
      </c>
    </row>
    <row r="83" spans="1:9" ht="33.75" x14ac:dyDescent="0.2">
      <c r="A83" s="155">
        <v>48</v>
      </c>
      <c r="B83" s="156" t="s">
        <v>322</v>
      </c>
      <c r="C83" s="159"/>
      <c r="D83" s="159"/>
      <c r="E83" s="159"/>
      <c r="F83" s="159"/>
      <c r="G83" s="159"/>
      <c r="H83" s="159"/>
      <c r="I83" s="158" t="s">
        <v>323</v>
      </c>
    </row>
    <row r="84" spans="1:9" x14ac:dyDescent="0.2">
      <c r="A84" s="155">
        <v>49</v>
      </c>
      <c r="B84" s="156" t="s">
        <v>289</v>
      </c>
      <c r="C84" s="159"/>
      <c r="D84" s="159"/>
      <c r="E84" s="159"/>
      <c r="F84" s="159"/>
      <c r="G84" s="159"/>
      <c r="H84" s="159"/>
      <c r="I84" s="158" t="s">
        <v>320</v>
      </c>
    </row>
    <row r="85" spans="1:9" x14ac:dyDescent="0.2">
      <c r="A85" s="155">
        <v>50</v>
      </c>
      <c r="B85" s="156" t="s">
        <v>324</v>
      </c>
      <c r="C85" s="159"/>
      <c r="D85" s="159"/>
      <c r="E85" s="159"/>
      <c r="F85" s="159"/>
      <c r="G85" s="159"/>
      <c r="H85" s="159"/>
      <c r="I85" s="158" t="s">
        <v>325</v>
      </c>
    </row>
    <row r="86" spans="1:9" x14ac:dyDescent="0.2">
      <c r="A86" s="155">
        <v>51</v>
      </c>
      <c r="B86" s="174" t="s">
        <v>326</v>
      </c>
      <c r="C86" s="159">
        <v>64.859166509999994</v>
      </c>
      <c r="D86" s="159">
        <v>64.891666499999999</v>
      </c>
      <c r="E86" s="159">
        <v>64.924166490000005</v>
      </c>
      <c r="F86" s="159">
        <v>64.956666479999996</v>
      </c>
      <c r="G86" s="159">
        <v>64.989166470000001</v>
      </c>
      <c r="H86" s="159">
        <v>106.8</v>
      </c>
      <c r="I86" s="158">
        <v>0</v>
      </c>
    </row>
    <row r="87" spans="1:9" x14ac:dyDescent="0.2">
      <c r="A87" s="175" t="s">
        <v>327</v>
      </c>
      <c r="B87" s="176"/>
      <c r="C87" s="177"/>
      <c r="D87" s="177"/>
      <c r="E87" s="177"/>
      <c r="F87" s="177"/>
      <c r="G87" s="177"/>
      <c r="H87" s="177"/>
      <c r="I87" s="178"/>
    </row>
    <row r="88" spans="1:9" ht="33.75" x14ac:dyDescent="0.2">
      <c r="A88" s="155">
        <v>52</v>
      </c>
      <c r="B88" s="156" t="s">
        <v>328</v>
      </c>
      <c r="C88" s="159"/>
      <c r="D88" s="159"/>
      <c r="E88" s="159"/>
      <c r="F88" s="159"/>
      <c r="G88" s="159"/>
      <c r="H88" s="159"/>
      <c r="I88" s="158" t="s">
        <v>329</v>
      </c>
    </row>
    <row r="89" spans="1:9" ht="33.75" x14ac:dyDescent="0.2">
      <c r="A89" s="155">
        <v>53</v>
      </c>
      <c r="B89" s="156" t="s">
        <v>330</v>
      </c>
      <c r="C89" s="159"/>
      <c r="D89" s="159"/>
      <c r="E89" s="159"/>
      <c r="F89" s="159"/>
      <c r="G89" s="159"/>
      <c r="H89" s="159"/>
      <c r="I89" s="158" t="s">
        <v>331</v>
      </c>
    </row>
    <row r="90" spans="1:9" ht="45" x14ac:dyDescent="0.2">
      <c r="A90" s="155">
        <v>54</v>
      </c>
      <c r="B90" s="156" t="s">
        <v>332</v>
      </c>
      <c r="C90" s="159"/>
      <c r="D90" s="159"/>
      <c r="E90" s="159"/>
      <c r="F90" s="159"/>
      <c r="G90" s="159"/>
      <c r="H90" s="159"/>
      <c r="I90" s="158" t="s">
        <v>333</v>
      </c>
    </row>
    <row r="91" spans="1:9" x14ac:dyDescent="0.2">
      <c r="A91" s="155" t="s">
        <v>334</v>
      </c>
      <c r="B91" s="156" t="s">
        <v>335</v>
      </c>
      <c r="C91" s="159"/>
      <c r="D91" s="159"/>
      <c r="E91" s="159"/>
      <c r="F91" s="159"/>
      <c r="G91" s="159"/>
      <c r="H91" s="159"/>
      <c r="I91" s="158">
        <v>0</v>
      </c>
    </row>
    <row r="92" spans="1:9" ht="22.5" x14ac:dyDescent="0.2">
      <c r="A92" s="155" t="s">
        <v>336</v>
      </c>
      <c r="B92" s="156" t="s">
        <v>337</v>
      </c>
      <c r="C92" s="159"/>
      <c r="D92" s="159"/>
      <c r="E92" s="159"/>
      <c r="F92" s="159"/>
      <c r="G92" s="159"/>
      <c r="H92" s="159"/>
      <c r="I92" s="158">
        <v>0</v>
      </c>
    </row>
    <row r="93" spans="1:9" ht="33.75" x14ac:dyDescent="0.2">
      <c r="A93" s="155">
        <v>55</v>
      </c>
      <c r="B93" s="156" t="s">
        <v>338</v>
      </c>
      <c r="C93" s="159"/>
      <c r="D93" s="159"/>
      <c r="E93" s="159"/>
      <c r="F93" s="159"/>
      <c r="G93" s="159"/>
      <c r="H93" s="159"/>
      <c r="I93" s="158" t="s">
        <v>339</v>
      </c>
    </row>
    <row r="94" spans="1:9" ht="33.75" x14ac:dyDescent="0.2">
      <c r="A94" s="155">
        <v>56</v>
      </c>
      <c r="B94" s="156" t="s">
        <v>340</v>
      </c>
      <c r="C94" s="159"/>
      <c r="D94" s="159"/>
      <c r="E94" s="159"/>
      <c r="F94" s="159"/>
      <c r="G94" s="159"/>
      <c r="H94" s="159"/>
      <c r="I94" s="158">
        <v>0</v>
      </c>
    </row>
    <row r="95" spans="1:9" ht="101.25" x14ac:dyDescent="0.2">
      <c r="A95" s="155" t="s">
        <v>341</v>
      </c>
      <c r="B95" s="156" t="s">
        <v>342</v>
      </c>
      <c r="C95" s="159"/>
      <c r="D95" s="159"/>
      <c r="E95" s="159"/>
      <c r="F95" s="159"/>
      <c r="G95" s="159"/>
      <c r="H95" s="159"/>
      <c r="I95" s="158" t="s">
        <v>343</v>
      </c>
    </row>
    <row r="96" spans="1:9" ht="45" x14ac:dyDescent="0.2">
      <c r="A96" s="155" t="s">
        <v>344</v>
      </c>
      <c r="B96" s="156" t="s">
        <v>345</v>
      </c>
      <c r="C96" s="159"/>
      <c r="D96" s="159"/>
      <c r="E96" s="159"/>
      <c r="F96" s="159"/>
      <c r="G96" s="159"/>
      <c r="H96" s="159"/>
      <c r="I96" s="158" t="s">
        <v>346</v>
      </c>
    </row>
    <row r="97" spans="1:9" ht="22.5" x14ac:dyDescent="0.2">
      <c r="A97" s="155" t="s">
        <v>347</v>
      </c>
      <c r="B97" s="156" t="s">
        <v>348</v>
      </c>
      <c r="C97" s="159"/>
      <c r="D97" s="159"/>
      <c r="E97" s="159"/>
      <c r="F97" s="159"/>
      <c r="G97" s="159"/>
      <c r="H97" s="159"/>
      <c r="I97" s="158" t="s">
        <v>309</v>
      </c>
    </row>
    <row r="98" spans="1:9" x14ac:dyDescent="0.2">
      <c r="A98" s="155"/>
      <c r="B98" s="156" t="s">
        <v>310</v>
      </c>
      <c r="C98" s="159"/>
      <c r="D98" s="159"/>
      <c r="E98" s="159"/>
      <c r="F98" s="159"/>
      <c r="G98" s="159"/>
      <c r="H98" s="159"/>
      <c r="I98" s="158">
        <v>0</v>
      </c>
    </row>
    <row r="99" spans="1:9" x14ac:dyDescent="0.2">
      <c r="A99" s="155"/>
      <c r="B99" s="156" t="s">
        <v>311</v>
      </c>
      <c r="C99" s="159"/>
      <c r="D99" s="159"/>
      <c r="E99" s="159"/>
      <c r="F99" s="159"/>
      <c r="G99" s="159"/>
      <c r="H99" s="159"/>
      <c r="I99" s="158">
        <v>0</v>
      </c>
    </row>
    <row r="100" spans="1:9" x14ac:dyDescent="0.2">
      <c r="A100" s="155">
        <v>57</v>
      </c>
      <c r="B100" s="174" t="s">
        <v>349</v>
      </c>
      <c r="C100" s="159"/>
      <c r="D100" s="159"/>
      <c r="E100" s="159"/>
      <c r="F100" s="159"/>
      <c r="G100" s="159"/>
      <c r="H100" s="159"/>
      <c r="I100" s="158">
        <v>0</v>
      </c>
    </row>
    <row r="101" spans="1:9" x14ac:dyDescent="0.2">
      <c r="A101" s="155">
        <v>58</v>
      </c>
      <c r="B101" s="174" t="s">
        <v>350</v>
      </c>
      <c r="C101" s="159">
        <v>64.859166509999994</v>
      </c>
      <c r="D101" s="159">
        <v>64.891666499999999</v>
      </c>
      <c r="E101" s="159">
        <v>64.924166490000005</v>
      </c>
      <c r="F101" s="159">
        <v>64.956666479999996</v>
      </c>
      <c r="G101" s="159">
        <v>64.989166470000001</v>
      </c>
      <c r="H101" s="159">
        <v>106.8</v>
      </c>
      <c r="I101" s="158">
        <v>0</v>
      </c>
    </row>
    <row r="102" spans="1:9" x14ac:dyDescent="0.2">
      <c r="A102" s="155">
        <v>59</v>
      </c>
      <c r="B102" s="174" t="s">
        <v>351</v>
      </c>
      <c r="C102" s="159">
        <v>1963.302968501202</v>
      </c>
      <c r="D102" s="159">
        <v>2002.9362883002793</v>
      </c>
      <c r="E102" s="159">
        <v>2256.5302587548431</v>
      </c>
      <c r="F102" s="159">
        <v>2325.4110272428784</v>
      </c>
      <c r="G102" s="159">
        <v>2293.4366231341523</v>
      </c>
      <c r="H102" s="159">
        <v>2204.0394525590768</v>
      </c>
      <c r="I102" s="158">
        <v>0</v>
      </c>
    </row>
    <row r="103" spans="1:9" ht="33.75" x14ac:dyDescent="0.2">
      <c r="A103" s="155" t="s">
        <v>352</v>
      </c>
      <c r="B103" s="156" t="s">
        <v>353</v>
      </c>
      <c r="C103" s="159"/>
      <c r="D103" s="159"/>
      <c r="E103" s="159"/>
      <c r="F103" s="159"/>
      <c r="G103" s="159"/>
      <c r="H103" s="159"/>
      <c r="I103" s="158">
        <v>0</v>
      </c>
    </row>
    <row r="104" spans="1:9" ht="67.5" x14ac:dyDescent="0.2">
      <c r="A104" s="155"/>
      <c r="B104" s="156" t="s">
        <v>354</v>
      </c>
      <c r="C104" s="159"/>
      <c r="D104" s="159"/>
      <c r="E104" s="159"/>
      <c r="F104" s="159"/>
      <c r="G104" s="159"/>
      <c r="H104" s="159"/>
      <c r="I104" s="158" t="s">
        <v>355</v>
      </c>
    </row>
    <row r="105" spans="1:9" ht="45" x14ac:dyDescent="0.2">
      <c r="A105" s="155"/>
      <c r="B105" s="156" t="s">
        <v>356</v>
      </c>
      <c r="C105" s="159"/>
      <c r="D105" s="159"/>
      <c r="E105" s="159"/>
      <c r="F105" s="159"/>
      <c r="G105" s="159"/>
      <c r="H105" s="159"/>
      <c r="I105" s="158" t="s">
        <v>357</v>
      </c>
    </row>
    <row r="106" spans="1:9" ht="56.25" x14ac:dyDescent="0.2">
      <c r="A106" s="155"/>
      <c r="B106" s="156" t="s">
        <v>358</v>
      </c>
      <c r="C106" s="159"/>
      <c r="D106" s="159"/>
      <c r="E106" s="159"/>
      <c r="F106" s="159"/>
      <c r="G106" s="159"/>
      <c r="H106" s="159"/>
      <c r="I106" s="158" t="s">
        <v>359</v>
      </c>
    </row>
    <row r="107" spans="1:9" x14ac:dyDescent="0.2">
      <c r="A107" s="155">
        <v>60</v>
      </c>
      <c r="B107" s="174" t="s">
        <v>360</v>
      </c>
      <c r="C107" s="159">
        <v>8747.8615207607072</v>
      </c>
      <c r="D107" s="159">
        <v>9077.8976954512073</v>
      </c>
      <c r="E107" s="159">
        <v>8925.3473001132606</v>
      </c>
      <c r="F107" s="159">
        <v>9065.352919635714</v>
      </c>
      <c r="G107" s="159">
        <v>8727.3397601100496</v>
      </c>
      <c r="H107" s="159">
        <v>8450.2551398513788</v>
      </c>
      <c r="I107" s="158">
        <v>0</v>
      </c>
    </row>
    <row r="108" spans="1:9" x14ac:dyDescent="0.2">
      <c r="A108" s="175" t="s">
        <v>361</v>
      </c>
      <c r="B108" s="176"/>
      <c r="C108" s="177"/>
      <c r="D108" s="177"/>
      <c r="E108" s="177"/>
      <c r="F108" s="177"/>
      <c r="G108" s="177"/>
      <c r="H108" s="177"/>
      <c r="I108" s="178"/>
    </row>
    <row r="109" spans="1:9" ht="22.5" x14ac:dyDescent="0.2">
      <c r="A109" s="155">
        <v>61</v>
      </c>
      <c r="B109" s="156" t="s">
        <v>362</v>
      </c>
      <c r="C109" s="181">
        <v>0.21192537142837498</v>
      </c>
      <c r="D109" s="181">
        <v>0.20858294346598333</v>
      </c>
      <c r="E109" s="181">
        <v>0.21814905647874736</v>
      </c>
      <c r="F109" s="181">
        <v>0.22237461449475332</v>
      </c>
      <c r="G109" s="181">
        <v>0.22731983756744861</v>
      </c>
      <c r="H109" s="181">
        <v>0.22457185270176977</v>
      </c>
      <c r="I109" s="158" t="s">
        <v>363</v>
      </c>
    </row>
    <row r="110" spans="1:9" ht="22.5" x14ac:dyDescent="0.2">
      <c r="A110" s="155">
        <v>62</v>
      </c>
      <c r="B110" s="156" t="s">
        <v>364</v>
      </c>
      <c r="C110" s="181">
        <v>0.2170180446370526</v>
      </c>
      <c r="D110" s="181">
        <v>0.21349046737675875</v>
      </c>
      <c r="E110" s="181">
        <v>0.24554855050145019</v>
      </c>
      <c r="F110" s="181">
        <v>0.24935094979773975</v>
      </c>
      <c r="G110" s="181">
        <v>0.25534097650806392</v>
      </c>
      <c r="H110" s="181">
        <v>0.24818652429421942</v>
      </c>
      <c r="I110" s="158" t="s">
        <v>365</v>
      </c>
    </row>
    <row r="111" spans="1:9" x14ac:dyDescent="0.2">
      <c r="A111" s="155">
        <v>63</v>
      </c>
      <c r="B111" s="156" t="s">
        <v>366</v>
      </c>
      <c r="C111" s="181">
        <v>0.2244323328440703</v>
      </c>
      <c r="D111" s="181">
        <v>0.22063878174171531</v>
      </c>
      <c r="E111" s="181">
        <v>0.25282268385524992</v>
      </c>
      <c r="F111" s="181">
        <v>0.25651632626524634</v>
      </c>
      <c r="G111" s="181">
        <v>0.26278759463642476</v>
      </c>
      <c r="H111" s="181">
        <v>0.26082519593578107</v>
      </c>
      <c r="I111" s="158" t="s">
        <v>367</v>
      </c>
    </row>
    <row r="112" spans="1:9" ht="45" x14ac:dyDescent="0.2">
      <c r="A112" s="155">
        <v>64</v>
      </c>
      <c r="B112" s="156" t="s">
        <v>368</v>
      </c>
      <c r="C112" s="182">
        <v>0.15260000000000001</v>
      </c>
      <c r="D112" s="182">
        <v>0.14023023799034218</v>
      </c>
      <c r="E112" s="182">
        <v>0.1401673376256064</v>
      </c>
      <c r="F112" s="182">
        <v>0.1399927406493236</v>
      </c>
      <c r="G112" s="182">
        <v>0.13988097682913112</v>
      </c>
      <c r="H112" s="182">
        <v>0.13988097682913112</v>
      </c>
      <c r="I112" s="158" t="s">
        <v>369</v>
      </c>
    </row>
    <row r="113" spans="1:9" x14ac:dyDescent="0.2">
      <c r="A113" s="155">
        <v>65</v>
      </c>
      <c r="B113" s="156" t="s">
        <v>370</v>
      </c>
      <c r="C113" s="182">
        <v>2.5000000000000001E-2</v>
      </c>
      <c r="D113" s="182">
        <v>2.5000000000000001E-2</v>
      </c>
      <c r="E113" s="182">
        <v>2.5000000000000001E-2</v>
      </c>
      <c r="F113" s="182">
        <v>2.5000000000000001E-2</v>
      </c>
      <c r="G113" s="182">
        <v>2.5000000000000001E-2</v>
      </c>
      <c r="H113" s="182">
        <v>2.5000000000000001E-2</v>
      </c>
      <c r="I113" s="158">
        <v>0</v>
      </c>
    </row>
    <row r="114" spans="1:9" x14ac:dyDescent="0.2">
      <c r="A114" s="155">
        <v>66</v>
      </c>
      <c r="B114" s="156" t="s">
        <v>371</v>
      </c>
      <c r="C114" s="182">
        <v>1.7600000000000001E-2</v>
      </c>
      <c r="D114" s="182">
        <v>5.2302379903421663E-3</v>
      </c>
      <c r="E114" s="182">
        <v>5.1673376256063819E-3</v>
      </c>
      <c r="F114" s="182">
        <v>4.9927406493235895E-3</v>
      </c>
      <c r="G114" s="182">
        <v>4.8809768291311045E-3</v>
      </c>
      <c r="H114" s="182">
        <v>4.8809768291311045E-3</v>
      </c>
      <c r="I114" s="158">
        <v>0</v>
      </c>
    </row>
    <row r="115" spans="1:9" x14ac:dyDescent="0.2">
      <c r="A115" s="155">
        <v>67</v>
      </c>
      <c r="B115" s="156" t="s">
        <v>372</v>
      </c>
      <c r="C115" s="182">
        <v>0.03</v>
      </c>
      <c r="D115" s="182">
        <v>0.03</v>
      </c>
      <c r="E115" s="182">
        <v>0.03</v>
      </c>
      <c r="F115" s="182">
        <v>0.03</v>
      </c>
      <c r="G115" s="182">
        <v>0.03</v>
      </c>
      <c r="H115" s="182">
        <v>0.03</v>
      </c>
      <c r="I115" s="158">
        <v>0</v>
      </c>
    </row>
    <row r="116" spans="1:9" ht="22.5" x14ac:dyDescent="0.2">
      <c r="A116" s="155" t="s">
        <v>373</v>
      </c>
      <c r="B116" s="156" t="s">
        <v>374</v>
      </c>
      <c r="C116" s="159"/>
      <c r="D116" s="159"/>
      <c r="E116" s="159"/>
      <c r="F116" s="159"/>
      <c r="G116" s="159"/>
      <c r="H116" s="159"/>
      <c r="I116" s="158" t="s">
        <v>375</v>
      </c>
    </row>
    <row r="117" spans="1:9" ht="22.5" x14ac:dyDescent="0.2">
      <c r="A117" s="155">
        <v>68</v>
      </c>
      <c r="B117" s="156" t="s">
        <v>376</v>
      </c>
      <c r="C117" s="182">
        <v>0.21192537142837498</v>
      </c>
      <c r="D117" s="182">
        <v>0.20858294346598333</v>
      </c>
      <c r="E117" s="182">
        <v>0.21814905647874736</v>
      </c>
      <c r="F117" s="182">
        <v>0.22237461449475332</v>
      </c>
      <c r="G117" s="182">
        <v>0.22731983756744861</v>
      </c>
      <c r="H117" s="182">
        <v>0.22457185270176977</v>
      </c>
      <c r="I117" s="158" t="s">
        <v>377</v>
      </c>
    </row>
    <row r="118" spans="1:9" x14ac:dyDescent="0.2">
      <c r="A118" s="155">
        <v>69</v>
      </c>
      <c r="B118" s="156" t="s">
        <v>378</v>
      </c>
      <c r="C118" s="159"/>
      <c r="D118" s="159"/>
      <c r="E118" s="159"/>
      <c r="F118" s="159"/>
      <c r="G118" s="159"/>
      <c r="H118" s="159"/>
      <c r="I118" s="158">
        <v>0</v>
      </c>
    </row>
    <row r="119" spans="1:9" x14ac:dyDescent="0.2">
      <c r="A119" s="155">
        <v>70</v>
      </c>
      <c r="B119" s="156" t="s">
        <v>378</v>
      </c>
      <c r="C119" s="159"/>
      <c r="D119" s="159"/>
      <c r="E119" s="159"/>
      <c r="F119" s="159"/>
      <c r="G119" s="159"/>
      <c r="H119" s="159"/>
      <c r="I119" s="158">
        <v>0</v>
      </c>
    </row>
    <row r="120" spans="1:9" x14ac:dyDescent="0.2">
      <c r="A120" s="155">
        <v>71</v>
      </c>
      <c r="B120" s="156" t="s">
        <v>378</v>
      </c>
      <c r="C120" s="159"/>
      <c r="D120" s="159"/>
      <c r="E120" s="159"/>
      <c r="F120" s="159"/>
      <c r="G120" s="159"/>
      <c r="H120" s="159"/>
      <c r="I120" s="158">
        <v>0</v>
      </c>
    </row>
    <row r="121" spans="1:9" x14ac:dyDescent="0.2">
      <c r="A121" s="175" t="s">
        <v>379</v>
      </c>
      <c r="B121" s="176"/>
      <c r="C121" s="177"/>
      <c r="D121" s="177"/>
      <c r="E121" s="177"/>
      <c r="F121" s="177"/>
      <c r="G121" s="177"/>
      <c r="H121" s="177"/>
      <c r="I121" s="178"/>
    </row>
    <row r="122" spans="1:9" ht="78.75" x14ac:dyDescent="0.2">
      <c r="A122" s="155">
        <v>72</v>
      </c>
      <c r="B122" s="156" t="s">
        <v>380</v>
      </c>
      <c r="C122" s="159"/>
      <c r="D122" s="159"/>
      <c r="E122" s="159"/>
      <c r="F122" s="159"/>
      <c r="G122" s="159"/>
      <c r="H122" s="159"/>
      <c r="I122" s="158" t="s">
        <v>381</v>
      </c>
    </row>
    <row r="123" spans="1:9" ht="33.75" x14ac:dyDescent="0.2">
      <c r="A123" s="155">
        <v>73</v>
      </c>
      <c r="B123" s="156" t="s">
        <v>382</v>
      </c>
      <c r="C123" s="159"/>
      <c r="D123" s="159"/>
      <c r="E123" s="159"/>
      <c r="F123" s="159"/>
      <c r="G123" s="159"/>
      <c r="H123" s="159"/>
      <c r="I123" s="158" t="s">
        <v>383</v>
      </c>
    </row>
    <row r="124" spans="1:9" x14ac:dyDescent="0.2">
      <c r="A124" s="155">
        <v>74</v>
      </c>
      <c r="B124" s="156" t="s">
        <v>221</v>
      </c>
      <c r="C124" s="159"/>
      <c r="D124" s="159"/>
      <c r="E124" s="159"/>
      <c r="F124" s="159"/>
      <c r="G124" s="159"/>
      <c r="H124" s="159"/>
      <c r="I124" s="158">
        <v>0</v>
      </c>
    </row>
    <row r="125" spans="1:9" ht="33.75" x14ac:dyDescent="0.2">
      <c r="A125" s="155">
        <v>75</v>
      </c>
      <c r="B125" s="156" t="s">
        <v>384</v>
      </c>
      <c r="C125" s="159"/>
      <c r="D125" s="159"/>
      <c r="E125" s="159"/>
      <c r="F125" s="159"/>
      <c r="G125" s="159"/>
      <c r="H125" s="159"/>
      <c r="I125" s="158" t="s">
        <v>385</v>
      </c>
    </row>
    <row r="126" spans="1:9" x14ac:dyDescent="0.2">
      <c r="A126" s="175" t="s">
        <v>386</v>
      </c>
      <c r="B126" s="176"/>
      <c r="C126" s="177"/>
      <c r="D126" s="177"/>
      <c r="E126" s="177"/>
      <c r="F126" s="177"/>
      <c r="G126" s="177"/>
      <c r="H126" s="177"/>
      <c r="I126" s="178"/>
    </row>
    <row r="127" spans="1:9" ht="22.5" x14ac:dyDescent="0.2">
      <c r="A127" s="155">
        <v>76</v>
      </c>
      <c r="B127" s="156" t="s">
        <v>387</v>
      </c>
      <c r="C127" s="159"/>
      <c r="D127" s="159"/>
      <c r="E127" s="159"/>
      <c r="F127" s="159"/>
      <c r="G127" s="159"/>
      <c r="H127" s="159"/>
      <c r="I127" s="158">
        <v>62</v>
      </c>
    </row>
    <row r="128" spans="1:9" ht="22.5" x14ac:dyDescent="0.2">
      <c r="A128" s="155">
        <v>78</v>
      </c>
      <c r="B128" s="156" t="s">
        <v>388</v>
      </c>
      <c r="C128" s="183"/>
      <c r="D128" s="183"/>
      <c r="E128" s="183"/>
      <c r="F128" s="183"/>
      <c r="G128" s="183"/>
      <c r="H128" s="183"/>
      <c r="I128" s="158">
        <v>62</v>
      </c>
    </row>
    <row r="129" spans="1:9" ht="15" customHeight="1" x14ac:dyDescent="0.2">
      <c r="A129" s="184" t="s">
        <v>389</v>
      </c>
      <c r="B129" s="185"/>
      <c r="C129" s="185"/>
      <c r="D129" s="185"/>
      <c r="E129" s="185"/>
      <c r="F129" s="185"/>
      <c r="G129" s="185"/>
      <c r="H129" s="185"/>
      <c r="I129" s="185"/>
    </row>
    <row r="130" spans="1:9" ht="33.75" x14ac:dyDescent="0.2">
      <c r="A130" s="155">
        <v>80</v>
      </c>
      <c r="B130" s="156" t="s">
        <v>390</v>
      </c>
      <c r="C130" s="159"/>
      <c r="D130" s="159"/>
      <c r="E130" s="159"/>
      <c r="F130" s="159"/>
      <c r="G130" s="159"/>
      <c r="H130" s="159"/>
      <c r="I130" s="158" t="s">
        <v>391</v>
      </c>
    </row>
    <row r="131" spans="1:9" ht="33.75" x14ac:dyDescent="0.2">
      <c r="A131" s="155">
        <v>81</v>
      </c>
      <c r="B131" s="156" t="s">
        <v>392</v>
      </c>
      <c r="C131" s="159"/>
      <c r="D131" s="159"/>
      <c r="E131" s="159"/>
      <c r="F131" s="159"/>
      <c r="G131" s="159"/>
      <c r="H131" s="159"/>
      <c r="I131" s="158" t="s">
        <v>391</v>
      </c>
    </row>
    <row r="132" spans="1:9" ht="26.25" customHeight="1" x14ac:dyDescent="0.2">
      <c r="A132" s="155">
        <v>82</v>
      </c>
      <c r="B132" s="156" t="s">
        <v>393</v>
      </c>
      <c r="C132" s="159"/>
      <c r="D132" s="159"/>
      <c r="E132" s="159"/>
      <c r="F132" s="159"/>
      <c r="G132" s="159"/>
      <c r="H132" s="159"/>
      <c r="I132" s="158" t="s">
        <v>394</v>
      </c>
    </row>
    <row r="133" spans="1:9" ht="33.75" x14ac:dyDescent="0.2">
      <c r="A133" s="155">
        <v>83</v>
      </c>
      <c r="B133" s="156" t="s">
        <v>395</v>
      </c>
      <c r="C133" s="159"/>
      <c r="D133" s="159"/>
      <c r="E133" s="159"/>
      <c r="F133" s="159"/>
      <c r="G133" s="159"/>
      <c r="H133" s="159"/>
      <c r="I133" s="158" t="s">
        <v>394</v>
      </c>
    </row>
    <row r="134" spans="1:9" ht="33.75" x14ac:dyDescent="0.2">
      <c r="A134" s="155">
        <v>84</v>
      </c>
      <c r="B134" s="156" t="s">
        <v>396</v>
      </c>
      <c r="C134" s="159"/>
      <c r="D134" s="159"/>
      <c r="E134" s="159"/>
      <c r="F134" s="159"/>
      <c r="G134" s="159"/>
      <c r="H134" s="159"/>
      <c r="I134" s="158" t="s">
        <v>397</v>
      </c>
    </row>
    <row r="135" spans="1:9" ht="33.75" x14ac:dyDescent="0.2">
      <c r="A135" s="155">
        <v>85</v>
      </c>
      <c r="B135" s="156" t="s">
        <v>398</v>
      </c>
      <c r="C135" s="159"/>
      <c r="D135" s="159"/>
      <c r="E135" s="159"/>
      <c r="F135" s="159"/>
      <c r="G135" s="159"/>
      <c r="H135" s="159"/>
      <c r="I135" s="158" t="s">
        <v>397</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E54"/>
  <sheetViews>
    <sheetView workbookViewId="0">
      <pane xSplit="2" ySplit="6" topLeftCell="C16" activePane="bottomRight" state="frozen"/>
      <selection pane="topRight" activeCell="C1" sqref="C1"/>
      <selection pane="bottomLeft" activeCell="A7" sqref="A7"/>
      <selection pane="bottomRight" activeCell="A7" sqref="A7:E48"/>
    </sheetView>
  </sheetViews>
  <sheetFormatPr defaultColWidth="9.140625" defaultRowHeight="15" x14ac:dyDescent="0.25"/>
  <cols>
    <col min="1" max="1" width="9.140625" style="154"/>
    <col min="2" max="2" width="74.85546875" style="154" bestFit="1" customWidth="1"/>
    <col min="3" max="3" width="34.7109375" style="154" customWidth="1"/>
    <col min="4" max="5" width="36" style="154" customWidth="1"/>
    <col min="6" max="250" width="9.140625" style="154"/>
    <col min="251" max="251" width="74.85546875" style="154" bestFit="1" customWidth="1"/>
    <col min="252" max="257" width="29.42578125" style="154" customWidth="1"/>
    <col min="258" max="506" width="9.140625" style="154"/>
    <col min="507" max="507" width="74.85546875" style="154" bestFit="1" customWidth="1"/>
    <col min="508" max="513" width="29.42578125" style="154" customWidth="1"/>
    <col min="514" max="762" width="9.140625" style="154"/>
    <col min="763" max="763" width="74.85546875" style="154" bestFit="1" customWidth="1"/>
    <col min="764" max="769" width="29.42578125" style="154" customWidth="1"/>
    <col min="770" max="1018" width="9.140625" style="154"/>
    <col min="1019" max="1019" width="74.85546875" style="154" bestFit="1" customWidth="1"/>
    <col min="1020" max="1025" width="29.42578125" style="154" customWidth="1"/>
    <col min="1026" max="1274" width="9.140625" style="154"/>
    <col min="1275" max="1275" width="74.85546875" style="154" bestFit="1" customWidth="1"/>
    <col min="1276" max="1281" width="29.42578125" style="154" customWidth="1"/>
    <col min="1282" max="1530" width="9.140625" style="154"/>
    <col min="1531" max="1531" width="74.85546875" style="154" bestFit="1" customWidth="1"/>
    <col min="1532" max="1537" width="29.42578125" style="154" customWidth="1"/>
    <col min="1538" max="1786" width="9.140625" style="154"/>
    <col min="1787" max="1787" width="74.85546875" style="154" bestFit="1" customWidth="1"/>
    <col min="1788" max="1793" width="29.42578125" style="154" customWidth="1"/>
    <col min="1794" max="2042" width="9.140625" style="154"/>
    <col min="2043" max="2043" width="74.85546875" style="154" bestFit="1" customWidth="1"/>
    <col min="2044" max="2049" width="29.42578125" style="154" customWidth="1"/>
    <col min="2050" max="2298" width="9.140625" style="154"/>
    <col min="2299" max="2299" width="74.85546875" style="154" bestFit="1" customWidth="1"/>
    <col min="2300" max="2305" width="29.42578125" style="154" customWidth="1"/>
    <col min="2306" max="2554" width="9.140625" style="154"/>
    <col min="2555" max="2555" width="74.85546875" style="154" bestFit="1" customWidth="1"/>
    <col min="2556" max="2561" width="29.42578125" style="154" customWidth="1"/>
    <col min="2562" max="2810" width="9.140625" style="154"/>
    <col min="2811" max="2811" width="74.85546875" style="154" bestFit="1" customWidth="1"/>
    <col min="2812" max="2817" width="29.42578125" style="154" customWidth="1"/>
    <col min="2818" max="3066" width="9.140625" style="154"/>
    <col min="3067" max="3067" width="74.85546875" style="154" bestFit="1" customWidth="1"/>
    <col min="3068" max="3073" width="29.42578125" style="154" customWidth="1"/>
    <col min="3074" max="3322" width="9.140625" style="154"/>
    <col min="3323" max="3323" width="74.85546875" style="154" bestFit="1" customWidth="1"/>
    <col min="3324" max="3329" width="29.42578125" style="154" customWidth="1"/>
    <col min="3330" max="3578" width="9.140625" style="154"/>
    <col min="3579" max="3579" width="74.85546875" style="154" bestFit="1" customWidth="1"/>
    <col min="3580" max="3585" width="29.42578125" style="154" customWidth="1"/>
    <col min="3586" max="3834" width="9.140625" style="154"/>
    <col min="3835" max="3835" width="74.85546875" style="154" bestFit="1" customWidth="1"/>
    <col min="3836" max="3841" width="29.42578125" style="154" customWidth="1"/>
    <col min="3842" max="4090" width="9.140625" style="154"/>
    <col min="4091" max="4091" width="74.85546875" style="154" bestFit="1" customWidth="1"/>
    <col min="4092" max="4097" width="29.42578125" style="154" customWidth="1"/>
    <col min="4098" max="4346" width="9.140625" style="154"/>
    <col min="4347" max="4347" width="74.85546875" style="154" bestFit="1" customWidth="1"/>
    <col min="4348" max="4353" width="29.42578125" style="154" customWidth="1"/>
    <col min="4354" max="4602" width="9.140625" style="154"/>
    <col min="4603" max="4603" width="74.85546875" style="154" bestFit="1" customWidth="1"/>
    <col min="4604" max="4609" width="29.42578125" style="154" customWidth="1"/>
    <col min="4610" max="4858" width="9.140625" style="154"/>
    <col min="4859" max="4859" width="74.85546875" style="154" bestFit="1" customWidth="1"/>
    <col min="4860" max="4865" width="29.42578125" style="154" customWidth="1"/>
    <col min="4866" max="5114" width="9.140625" style="154"/>
    <col min="5115" max="5115" width="74.85546875" style="154" bestFit="1" customWidth="1"/>
    <col min="5116" max="5121" width="29.42578125" style="154" customWidth="1"/>
    <col min="5122" max="5370" width="9.140625" style="154"/>
    <col min="5371" max="5371" width="74.85546875" style="154" bestFit="1" customWidth="1"/>
    <col min="5372" max="5377" width="29.42578125" style="154" customWidth="1"/>
    <col min="5378" max="5626" width="9.140625" style="154"/>
    <col min="5627" max="5627" width="74.85546875" style="154" bestFit="1" customWidth="1"/>
    <col min="5628" max="5633" width="29.42578125" style="154" customWidth="1"/>
    <col min="5634" max="5882" width="9.140625" style="154"/>
    <col min="5883" max="5883" width="74.85546875" style="154" bestFit="1" customWidth="1"/>
    <col min="5884" max="5889" width="29.42578125" style="154" customWidth="1"/>
    <col min="5890" max="6138" width="9.140625" style="154"/>
    <col min="6139" max="6139" width="74.85546875" style="154" bestFit="1" customWidth="1"/>
    <col min="6140" max="6145" width="29.42578125" style="154" customWidth="1"/>
    <col min="6146" max="6394" width="9.140625" style="154"/>
    <col min="6395" max="6395" width="74.85546875" style="154" bestFit="1" customWidth="1"/>
    <col min="6396" max="6401" width="29.42578125" style="154" customWidth="1"/>
    <col min="6402" max="6650" width="9.140625" style="154"/>
    <col min="6651" max="6651" width="74.85546875" style="154" bestFit="1" customWidth="1"/>
    <col min="6652" max="6657" width="29.42578125" style="154" customWidth="1"/>
    <col min="6658" max="6906" width="9.140625" style="154"/>
    <col min="6907" max="6907" width="74.85546875" style="154" bestFit="1" customWidth="1"/>
    <col min="6908" max="6913" width="29.42578125" style="154" customWidth="1"/>
    <col min="6914" max="7162" width="9.140625" style="154"/>
    <col min="7163" max="7163" width="74.85546875" style="154" bestFit="1" customWidth="1"/>
    <col min="7164" max="7169" width="29.42578125" style="154" customWidth="1"/>
    <col min="7170" max="7418" width="9.140625" style="154"/>
    <col min="7419" max="7419" width="74.85546875" style="154" bestFit="1" customWidth="1"/>
    <col min="7420" max="7425" width="29.42578125" style="154" customWidth="1"/>
    <col min="7426" max="7674" width="9.140625" style="154"/>
    <col min="7675" max="7675" width="74.85546875" style="154" bestFit="1" customWidth="1"/>
    <col min="7676" max="7681" width="29.42578125" style="154" customWidth="1"/>
    <col min="7682" max="7930" width="9.140625" style="154"/>
    <col min="7931" max="7931" width="74.85546875" style="154" bestFit="1" customWidth="1"/>
    <col min="7932" max="7937" width="29.42578125" style="154" customWidth="1"/>
    <col min="7938" max="8186" width="9.140625" style="154"/>
    <col min="8187" max="8187" width="74.85546875" style="154" bestFit="1" customWidth="1"/>
    <col min="8188" max="8193" width="29.42578125" style="154" customWidth="1"/>
    <col min="8194" max="8442" width="9.140625" style="154"/>
    <col min="8443" max="8443" width="74.85546875" style="154" bestFit="1" customWidth="1"/>
    <col min="8444" max="8449" width="29.42578125" style="154" customWidth="1"/>
    <col min="8450" max="8698" width="9.140625" style="154"/>
    <col min="8699" max="8699" width="74.85546875" style="154" bestFit="1" customWidth="1"/>
    <col min="8700" max="8705" width="29.42578125" style="154" customWidth="1"/>
    <col min="8706" max="8954" width="9.140625" style="154"/>
    <col min="8955" max="8955" width="74.85546875" style="154" bestFit="1" customWidth="1"/>
    <col min="8956" max="8961" width="29.42578125" style="154" customWidth="1"/>
    <col min="8962" max="9210" width="9.140625" style="154"/>
    <col min="9211" max="9211" width="74.85546875" style="154" bestFit="1" customWidth="1"/>
    <col min="9212" max="9217" width="29.42578125" style="154" customWidth="1"/>
    <col min="9218" max="9466" width="9.140625" style="154"/>
    <col min="9467" max="9467" width="74.85546875" style="154" bestFit="1" customWidth="1"/>
    <col min="9468" max="9473" width="29.42578125" style="154" customWidth="1"/>
    <col min="9474" max="9722" width="9.140625" style="154"/>
    <col min="9723" max="9723" width="74.85546875" style="154" bestFit="1" customWidth="1"/>
    <col min="9724" max="9729" width="29.42578125" style="154" customWidth="1"/>
    <col min="9730" max="9978" width="9.140625" style="154"/>
    <col min="9979" max="9979" width="74.85546875" style="154" bestFit="1" customWidth="1"/>
    <col min="9980" max="9985" width="29.42578125" style="154" customWidth="1"/>
    <col min="9986" max="10234" width="9.140625" style="154"/>
    <col min="10235" max="10235" width="74.85546875" style="154" bestFit="1" customWidth="1"/>
    <col min="10236" max="10241" width="29.42578125" style="154" customWidth="1"/>
    <col min="10242" max="10490" width="9.140625" style="154"/>
    <col min="10491" max="10491" width="74.85546875" style="154" bestFit="1" customWidth="1"/>
    <col min="10492" max="10497" width="29.42578125" style="154" customWidth="1"/>
    <col min="10498" max="10746" width="9.140625" style="154"/>
    <col min="10747" max="10747" width="74.85546875" style="154" bestFit="1" customWidth="1"/>
    <col min="10748" max="10753" width="29.42578125" style="154" customWidth="1"/>
    <col min="10754" max="11002" width="9.140625" style="154"/>
    <col min="11003" max="11003" width="74.85546875" style="154" bestFit="1" customWidth="1"/>
    <col min="11004" max="11009" width="29.42578125" style="154" customWidth="1"/>
    <col min="11010" max="11258" width="9.140625" style="154"/>
    <col min="11259" max="11259" width="74.85546875" style="154" bestFit="1" customWidth="1"/>
    <col min="11260" max="11265" width="29.42578125" style="154" customWidth="1"/>
    <col min="11266" max="11514" width="9.140625" style="154"/>
    <col min="11515" max="11515" width="74.85546875" style="154" bestFit="1" customWidth="1"/>
    <col min="11516" max="11521" width="29.42578125" style="154" customWidth="1"/>
    <col min="11522" max="11770" width="9.140625" style="154"/>
    <col min="11771" max="11771" width="74.85546875" style="154" bestFit="1" customWidth="1"/>
    <col min="11772" max="11777" width="29.42578125" style="154" customWidth="1"/>
    <col min="11778" max="12026" width="9.140625" style="154"/>
    <col min="12027" max="12027" width="74.85546875" style="154" bestFit="1" customWidth="1"/>
    <col min="12028" max="12033" width="29.42578125" style="154" customWidth="1"/>
    <col min="12034" max="12282" width="9.140625" style="154"/>
    <col min="12283" max="12283" width="74.85546875" style="154" bestFit="1" customWidth="1"/>
    <col min="12284" max="12289" width="29.42578125" style="154" customWidth="1"/>
    <col min="12290" max="12538" width="9.140625" style="154"/>
    <col min="12539" max="12539" width="74.85546875" style="154" bestFit="1" customWidth="1"/>
    <col min="12540" max="12545" width="29.42578125" style="154" customWidth="1"/>
    <col min="12546" max="12794" width="9.140625" style="154"/>
    <col min="12795" max="12795" width="74.85546875" style="154" bestFit="1" customWidth="1"/>
    <col min="12796" max="12801" width="29.42578125" style="154" customWidth="1"/>
    <col min="12802" max="13050" width="9.140625" style="154"/>
    <col min="13051" max="13051" width="74.85546875" style="154" bestFit="1" customWidth="1"/>
    <col min="13052" max="13057" width="29.42578125" style="154" customWidth="1"/>
    <col min="13058" max="13306" width="9.140625" style="154"/>
    <col min="13307" max="13307" width="74.85546875" style="154" bestFit="1" customWidth="1"/>
    <col min="13308" max="13313" width="29.42578125" style="154" customWidth="1"/>
    <col min="13314" max="13562" width="9.140625" style="154"/>
    <col min="13563" max="13563" width="74.85546875" style="154" bestFit="1" customWidth="1"/>
    <col min="13564" max="13569" width="29.42578125" style="154" customWidth="1"/>
    <col min="13570" max="13818" width="9.140625" style="154"/>
    <col min="13819" max="13819" width="74.85546875" style="154" bestFit="1" customWidth="1"/>
    <col min="13820" max="13825" width="29.42578125" style="154" customWidth="1"/>
    <col min="13826" max="14074" width="9.140625" style="154"/>
    <col min="14075" max="14075" width="74.85546875" style="154" bestFit="1" customWidth="1"/>
    <col min="14076" max="14081" width="29.42578125" style="154" customWidth="1"/>
    <col min="14082" max="14330" width="9.140625" style="154"/>
    <col min="14331" max="14331" width="74.85546875" style="154" bestFit="1" customWidth="1"/>
    <col min="14332" max="14337" width="29.42578125" style="154" customWidth="1"/>
    <col min="14338" max="14586" width="9.140625" style="154"/>
    <col min="14587" max="14587" width="74.85546875" style="154" bestFit="1" customWidth="1"/>
    <col min="14588" max="14593" width="29.42578125" style="154" customWidth="1"/>
    <col min="14594" max="14842" width="9.140625" style="154"/>
    <col min="14843" max="14843" width="74.85546875" style="154" bestFit="1" customWidth="1"/>
    <col min="14844" max="14849" width="29.42578125" style="154" customWidth="1"/>
    <col min="14850" max="15098" width="9.140625" style="154"/>
    <col min="15099" max="15099" width="74.85546875" style="154" bestFit="1" customWidth="1"/>
    <col min="15100" max="15105" width="29.42578125" style="154" customWidth="1"/>
    <col min="15106" max="15354" width="9.140625" style="154"/>
    <col min="15355" max="15355" width="74.85546875" style="154" bestFit="1" customWidth="1"/>
    <col min="15356" max="15361" width="29.42578125" style="154" customWidth="1"/>
    <col min="15362" max="15610" width="9.140625" style="154"/>
    <col min="15611" max="15611" width="74.85546875" style="154" bestFit="1" customWidth="1"/>
    <col min="15612" max="15617" width="29.42578125" style="154" customWidth="1"/>
    <col min="15618" max="15866" width="9.140625" style="154"/>
    <col min="15867" max="15867" width="74.85546875" style="154" bestFit="1" customWidth="1"/>
    <col min="15868" max="15873" width="29.42578125" style="154" customWidth="1"/>
    <col min="15874" max="16122" width="9.140625" style="154"/>
    <col min="16123" max="16123" width="74.85546875" style="154" bestFit="1" customWidth="1"/>
    <col min="16124" max="16129" width="29.42578125" style="154" customWidth="1"/>
    <col min="16130" max="16384" width="9.140625" style="154"/>
  </cols>
  <sheetData>
    <row r="1" spans="1:5" x14ac:dyDescent="0.25">
      <c r="A1" s="133"/>
      <c r="B1" s="133"/>
    </row>
    <row r="2" spans="1:5" s="153" customFormat="1" ht="6" customHeight="1" x14ac:dyDescent="0.2"/>
    <row r="3" spans="1:5" ht="18" x14ac:dyDescent="0.25">
      <c r="A3" s="136" t="s">
        <v>399</v>
      </c>
    </row>
    <row r="4" spans="1:5" x14ac:dyDescent="0.25">
      <c r="A4" s="154" t="s">
        <v>519</v>
      </c>
    </row>
    <row r="6" spans="1:5" ht="15" customHeight="1" x14ac:dyDescent="0.25">
      <c r="A6" s="255" t="s">
        <v>400</v>
      </c>
      <c r="B6" s="256"/>
      <c r="C6" s="256"/>
      <c r="D6" s="256"/>
      <c r="E6" s="256"/>
    </row>
    <row r="7" spans="1:5" x14ac:dyDescent="0.25">
      <c r="A7" s="188">
        <v>1</v>
      </c>
      <c r="B7" s="188" t="s">
        <v>401</v>
      </c>
      <c r="C7" s="189" t="s">
        <v>585</v>
      </c>
      <c r="D7" s="189" t="s">
        <v>585</v>
      </c>
      <c r="E7" s="189" t="s">
        <v>585</v>
      </c>
    </row>
    <row r="8" spans="1:5" x14ac:dyDescent="0.25">
      <c r="A8" s="188">
        <v>2</v>
      </c>
      <c r="B8" s="188" t="s">
        <v>402</v>
      </c>
      <c r="C8" s="189" t="s">
        <v>586</v>
      </c>
      <c r="D8" s="189" t="s">
        <v>696</v>
      </c>
      <c r="E8" s="189" t="s">
        <v>594</v>
      </c>
    </row>
    <row r="9" spans="1:5" x14ac:dyDescent="0.25">
      <c r="A9" s="188">
        <v>3</v>
      </c>
      <c r="B9" s="188" t="s">
        <v>403</v>
      </c>
      <c r="C9" s="189" t="s">
        <v>404</v>
      </c>
      <c r="D9" s="189" t="s">
        <v>404</v>
      </c>
      <c r="E9" s="189" t="s">
        <v>404</v>
      </c>
    </row>
    <row r="10" spans="1:5" x14ac:dyDescent="0.25">
      <c r="A10" s="188"/>
      <c r="B10" s="190" t="s">
        <v>405</v>
      </c>
      <c r="C10" s="191"/>
      <c r="D10" s="191"/>
      <c r="E10" s="191"/>
    </row>
    <row r="11" spans="1:5" x14ac:dyDescent="0.25">
      <c r="A11" s="188">
        <v>4</v>
      </c>
      <c r="B11" s="188" t="s">
        <v>406</v>
      </c>
      <c r="C11" s="189" t="s">
        <v>189</v>
      </c>
      <c r="D11" s="189" t="s">
        <v>189</v>
      </c>
      <c r="E11" s="189" t="s">
        <v>407</v>
      </c>
    </row>
    <row r="12" spans="1:5" x14ac:dyDescent="0.25">
      <c r="A12" s="188">
        <v>5</v>
      </c>
      <c r="B12" s="188" t="s">
        <v>408</v>
      </c>
      <c r="C12" s="189" t="s">
        <v>189</v>
      </c>
      <c r="D12" s="189" t="s">
        <v>189</v>
      </c>
      <c r="E12" s="189" t="s">
        <v>407</v>
      </c>
    </row>
    <row r="13" spans="1:5" x14ac:dyDescent="0.25">
      <c r="A13" s="188">
        <v>6</v>
      </c>
      <c r="B13" s="188" t="s">
        <v>409</v>
      </c>
      <c r="C13" s="189" t="s">
        <v>410</v>
      </c>
      <c r="D13" s="189" t="s">
        <v>410</v>
      </c>
      <c r="E13" s="189" t="s">
        <v>410</v>
      </c>
    </row>
    <row r="14" spans="1:5" x14ac:dyDescent="0.25">
      <c r="A14" s="188">
        <v>7</v>
      </c>
      <c r="B14" s="188" t="s">
        <v>411</v>
      </c>
      <c r="C14" s="192" t="s">
        <v>412</v>
      </c>
      <c r="D14" s="193" t="s">
        <v>412</v>
      </c>
      <c r="E14" s="193" t="s">
        <v>413</v>
      </c>
    </row>
    <row r="15" spans="1:5" x14ac:dyDescent="0.25">
      <c r="A15" s="188">
        <v>8</v>
      </c>
      <c r="B15" s="188" t="s">
        <v>414</v>
      </c>
      <c r="C15" s="189" t="s">
        <v>588</v>
      </c>
      <c r="D15" s="189" t="s">
        <v>588</v>
      </c>
      <c r="E15" s="189" t="s">
        <v>593</v>
      </c>
    </row>
    <row r="16" spans="1:5" x14ac:dyDescent="0.25">
      <c r="A16" s="188">
        <v>9</v>
      </c>
      <c r="B16" s="188" t="s">
        <v>415</v>
      </c>
      <c r="C16" s="189" t="s">
        <v>589</v>
      </c>
      <c r="D16" s="189" t="s">
        <v>589</v>
      </c>
      <c r="E16" s="189" t="s">
        <v>593</v>
      </c>
    </row>
    <row r="17" spans="1:5" x14ac:dyDescent="0.25">
      <c r="A17" s="194" t="s">
        <v>416</v>
      </c>
      <c r="B17" s="188" t="s">
        <v>417</v>
      </c>
      <c r="C17" s="195">
        <v>100</v>
      </c>
      <c r="D17" s="189">
        <v>100</v>
      </c>
      <c r="E17" s="189">
        <v>100</v>
      </c>
    </row>
    <row r="18" spans="1:5" x14ac:dyDescent="0.25">
      <c r="A18" s="194" t="s">
        <v>418</v>
      </c>
      <c r="B18" s="188" t="s">
        <v>419</v>
      </c>
      <c r="C18" s="189">
        <v>100</v>
      </c>
      <c r="D18" s="189">
        <v>100</v>
      </c>
      <c r="E18" s="189">
        <v>100</v>
      </c>
    </row>
    <row r="19" spans="1:5" x14ac:dyDescent="0.25">
      <c r="A19" s="188">
        <v>10</v>
      </c>
      <c r="B19" s="188" t="s">
        <v>420</v>
      </c>
      <c r="C19" s="189" t="s">
        <v>421</v>
      </c>
      <c r="D19" s="189" t="s">
        <v>421</v>
      </c>
      <c r="E19" s="189" t="s">
        <v>422</v>
      </c>
    </row>
    <row r="20" spans="1:5" x14ac:dyDescent="0.25">
      <c r="A20" s="188">
        <v>11</v>
      </c>
      <c r="B20" s="188" t="s">
        <v>423</v>
      </c>
      <c r="C20" s="196" t="s">
        <v>587</v>
      </c>
      <c r="D20" s="196" t="s">
        <v>697</v>
      </c>
      <c r="E20" s="196" t="s">
        <v>595</v>
      </c>
    </row>
    <row r="21" spans="1:5" x14ac:dyDescent="0.25">
      <c r="A21" s="188">
        <v>12</v>
      </c>
      <c r="B21" s="188" t="s">
        <v>424</v>
      </c>
      <c r="C21" s="189" t="s">
        <v>425</v>
      </c>
      <c r="D21" s="189" t="s">
        <v>425</v>
      </c>
      <c r="E21" s="189" t="s">
        <v>426</v>
      </c>
    </row>
    <row r="22" spans="1:5" x14ac:dyDescent="0.25">
      <c r="A22" s="188">
        <v>13</v>
      </c>
      <c r="B22" s="188" t="s">
        <v>427</v>
      </c>
      <c r="C22" s="196" t="s">
        <v>590</v>
      </c>
      <c r="D22" s="197">
        <v>47910</v>
      </c>
      <c r="E22" s="197" t="s">
        <v>428</v>
      </c>
    </row>
    <row r="23" spans="1:5" x14ac:dyDescent="0.25">
      <c r="A23" s="188">
        <v>14</v>
      </c>
      <c r="B23" s="188" t="s">
        <v>429</v>
      </c>
      <c r="C23" s="189" t="s">
        <v>430</v>
      </c>
      <c r="D23" s="189" t="s">
        <v>430</v>
      </c>
      <c r="E23" s="189" t="s">
        <v>430</v>
      </c>
    </row>
    <row r="24" spans="1:5" ht="57" x14ac:dyDescent="0.25">
      <c r="A24" s="188">
        <v>15</v>
      </c>
      <c r="B24" s="188" t="s">
        <v>431</v>
      </c>
      <c r="C24" s="198" t="s">
        <v>591</v>
      </c>
      <c r="D24" s="198" t="s">
        <v>698</v>
      </c>
      <c r="E24" s="198" t="s">
        <v>596</v>
      </c>
    </row>
    <row r="25" spans="1:5" x14ac:dyDescent="0.25">
      <c r="A25" s="199">
        <v>16</v>
      </c>
      <c r="B25" s="199" t="s">
        <v>432</v>
      </c>
      <c r="C25" s="193" t="s">
        <v>597</v>
      </c>
      <c r="D25" s="193" t="s">
        <v>699</v>
      </c>
      <c r="E25" s="193" t="s">
        <v>598</v>
      </c>
    </row>
    <row r="26" spans="1:5" x14ac:dyDescent="0.25">
      <c r="A26" s="199"/>
      <c r="B26" s="200" t="s">
        <v>433</v>
      </c>
      <c r="C26" s="201"/>
      <c r="D26" s="201"/>
      <c r="E26" s="201"/>
    </row>
    <row r="27" spans="1:5" x14ac:dyDescent="0.25">
      <c r="A27" s="199">
        <v>17</v>
      </c>
      <c r="B27" s="199" t="s">
        <v>434</v>
      </c>
      <c r="C27" s="195" t="s">
        <v>435</v>
      </c>
      <c r="D27" s="195" t="s">
        <v>435</v>
      </c>
      <c r="E27" s="195" t="s">
        <v>435</v>
      </c>
    </row>
    <row r="28" spans="1:5" x14ac:dyDescent="0.25">
      <c r="A28" s="199">
        <v>18</v>
      </c>
      <c r="B28" s="199" t="s">
        <v>436</v>
      </c>
      <c r="C28" s="193" t="s">
        <v>592</v>
      </c>
      <c r="D28" s="193" t="s">
        <v>700</v>
      </c>
      <c r="E28" s="193" t="s">
        <v>599</v>
      </c>
    </row>
    <row r="29" spans="1:5" x14ac:dyDescent="0.25">
      <c r="A29" s="199">
        <v>19</v>
      </c>
      <c r="B29" s="199" t="s">
        <v>437</v>
      </c>
      <c r="C29" s="195" t="s">
        <v>438</v>
      </c>
      <c r="D29" s="195" t="s">
        <v>438</v>
      </c>
      <c r="E29" s="195" t="s">
        <v>438</v>
      </c>
    </row>
    <row r="30" spans="1:5" x14ac:dyDescent="0.25">
      <c r="A30" s="202" t="s">
        <v>242</v>
      </c>
      <c r="B30" s="199" t="s">
        <v>439</v>
      </c>
      <c r="C30" s="195" t="s">
        <v>440</v>
      </c>
      <c r="D30" s="195" t="s">
        <v>440</v>
      </c>
      <c r="E30" s="195" t="s">
        <v>441</v>
      </c>
    </row>
    <row r="31" spans="1:5" x14ac:dyDescent="0.25">
      <c r="A31" s="202" t="s">
        <v>245</v>
      </c>
      <c r="B31" s="199" t="s">
        <v>442</v>
      </c>
      <c r="C31" s="195" t="s">
        <v>440</v>
      </c>
      <c r="D31" s="195" t="s">
        <v>440</v>
      </c>
      <c r="E31" s="195" t="s">
        <v>441</v>
      </c>
    </row>
    <row r="32" spans="1:5" x14ac:dyDescent="0.25">
      <c r="A32" s="199">
        <v>21</v>
      </c>
      <c r="B32" s="199" t="s">
        <v>443</v>
      </c>
      <c r="C32" s="195" t="s">
        <v>438</v>
      </c>
      <c r="D32" s="195" t="s">
        <v>438</v>
      </c>
      <c r="E32" s="195" t="s">
        <v>438</v>
      </c>
    </row>
    <row r="33" spans="1:5" x14ac:dyDescent="0.25">
      <c r="A33" s="199">
        <v>22</v>
      </c>
      <c r="B33" s="199" t="s">
        <v>444</v>
      </c>
      <c r="C33" s="195" t="s">
        <v>445</v>
      </c>
      <c r="D33" s="195" t="s">
        <v>445</v>
      </c>
      <c r="E33" s="195" t="s">
        <v>445</v>
      </c>
    </row>
    <row r="34" spans="1:5" x14ac:dyDescent="0.25">
      <c r="A34" s="199">
        <v>23</v>
      </c>
      <c r="B34" s="199" t="s">
        <v>446</v>
      </c>
      <c r="C34" s="195" t="s">
        <v>447</v>
      </c>
      <c r="D34" s="195" t="s">
        <v>447</v>
      </c>
      <c r="E34" s="195" t="s">
        <v>447</v>
      </c>
    </row>
    <row r="35" spans="1:5" x14ac:dyDescent="0.25">
      <c r="A35" s="199">
        <v>24</v>
      </c>
      <c r="B35" s="199" t="s">
        <v>448</v>
      </c>
      <c r="C35" s="195" t="s">
        <v>449</v>
      </c>
      <c r="D35" s="195" t="s">
        <v>449</v>
      </c>
      <c r="E35" s="195" t="s">
        <v>449</v>
      </c>
    </row>
    <row r="36" spans="1:5" x14ac:dyDescent="0.25">
      <c r="A36" s="199">
        <v>25</v>
      </c>
      <c r="B36" s="199" t="s">
        <v>450</v>
      </c>
      <c r="C36" s="195" t="s">
        <v>449</v>
      </c>
      <c r="D36" s="195" t="s">
        <v>449</v>
      </c>
      <c r="E36" s="195" t="s">
        <v>449</v>
      </c>
    </row>
    <row r="37" spans="1:5" x14ac:dyDescent="0.25">
      <c r="A37" s="199">
        <v>26</v>
      </c>
      <c r="B37" s="199" t="s">
        <v>451</v>
      </c>
      <c r="C37" s="195" t="s">
        <v>449</v>
      </c>
      <c r="D37" s="195" t="s">
        <v>449</v>
      </c>
      <c r="E37" s="195" t="s">
        <v>449</v>
      </c>
    </row>
    <row r="38" spans="1:5" x14ac:dyDescent="0.25">
      <c r="A38" s="199">
        <v>27</v>
      </c>
      <c r="B38" s="199" t="s">
        <v>452</v>
      </c>
      <c r="C38" s="195" t="s">
        <v>449</v>
      </c>
      <c r="D38" s="195" t="s">
        <v>449</v>
      </c>
      <c r="E38" s="195" t="s">
        <v>449</v>
      </c>
    </row>
    <row r="39" spans="1:5" x14ac:dyDescent="0.25">
      <c r="A39" s="199">
        <v>28</v>
      </c>
      <c r="B39" s="199" t="s">
        <v>453</v>
      </c>
      <c r="C39" s="195" t="s">
        <v>449</v>
      </c>
      <c r="D39" s="195" t="s">
        <v>449</v>
      </c>
      <c r="E39" s="195" t="s">
        <v>449</v>
      </c>
    </row>
    <row r="40" spans="1:5" x14ac:dyDescent="0.25">
      <c r="A40" s="199">
        <v>29</v>
      </c>
      <c r="B40" s="199" t="s">
        <v>454</v>
      </c>
      <c r="C40" s="195" t="s">
        <v>449</v>
      </c>
      <c r="D40" s="195" t="s">
        <v>449</v>
      </c>
      <c r="E40" s="195" t="s">
        <v>449</v>
      </c>
    </row>
    <row r="41" spans="1:5" x14ac:dyDescent="0.25">
      <c r="A41" s="199">
        <v>30</v>
      </c>
      <c r="B41" s="199" t="s">
        <v>455</v>
      </c>
      <c r="C41" s="193" t="s">
        <v>438</v>
      </c>
      <c r="D41" s="195" t="s">
        <v>438</v>
      </c>
      <c r="E41" s="195" t="s">
        <v>430</v>
      </c>
    </row>
    <row r="42" spans="1:5" x14ac:dyDescent="0.25">
      <c r="A42" s="199">
        <v>31</v>
      </c>
      <c r="B42" s="199" t="s">
        <v>456</v>
      </c>
      <c r="C42" s="193" t="s">
        <v>449</v>
      </c>
      <c r="D42" s="193" t="s">
        <v>449</v>
      </c>
      <c r="E42" s="193" t="s">
        <v>457</v>
      </c>
    </row>
    <row r="43" spans="1:5" x14ac:dyDescent="0.25">
      <c r="A43" s="199">
        <v>32</v>
      </c>
      <c r="B43" s="199" t="s">
        <v>458</v>
      </c>
      <c r="C43" s="195" t="s">
        <v>449</v>
      </c>
      <c r="D43" s="195" t="s">
        <v>449</v>
      </c>
      <c r="E43" s="195" t="s">
        <v>459</v>
      </c>
    </row>
    <row r="44" spans="1:5" x14ac:dyDescent="0.25">
      <c r="A44" s="199">
        <v>33</v>
      </c>
      <c r="B44" s="199" t="s">
        <v>460</v>
      </c>
      <c r="C44" s="195" t="s">
        <v>449</v>
      </c>
      <c r="D44" s="195" t="s">
        <v>449</v>
      </c>
      <c r="E44" s="195" t="s">
        <v>461</v>
      </c>
    </row>
    <row r="45" spans="1:5" ht="34.5" x14ac:dyDescent="0.25">
      <c r="A45" s="199">
        <v>34</v>
      </c>
      <c r="B45" s="199" t="s">
        <v>462</v>
      </c>
      <c r="C45" s="193" t="s">
        <v>449</v>
      </c>
      <c r="D45" s="193" t="s">
        <v>449</v>
      </c>
      <c r="E45" s="193" t="s">
        <v>463</v>
      </c>
    </row>
    <row r="46" spans="1:5" x14ac:dyDescent="0.25">
      <c r="A46" s="199">
        <v>35</v>
      </c>
      <c r="B46" s="199" t="s">
        <v>464</v>
      </c>
      <c r="C46" s="195" t="s">
        <v>465</v>
      </c>
      <c r="D46" s="195" t="s">
        <v>465</v>
      </c>
      <c r="E46" s="195" t="s">
        <v>189</v>
      </c>
    </row>
    <row r="47" spans="1:5" ht="39.75" customHeight="1" x14ac:dyDescent="0.25">
      <c r="A47" s="199">
        <v>36</v>
      </c>
      <c r="B47" s="199" t="s">
        <v>466</v>
      </c>
      <c r="C47" s="195" t="s">
        <v>438</v>
      </c>
      <c r="D47" s="195" t="s">
        <v>438</v>
      </c>
      <c r="E47" s="195" t="s">
        <v>438</v>
      </c>
    </row>
    <row r="48" spans="1:5" x14ac:dyDescent="0.25">
      <c r="A48" s="199">
        <v>37</v>
      </c>
      <c r="B48" s="199" t="s">
        <v>467</v>
      </c>
      <c r="C48" s="195" t="s">
        <v>449</v>
      </c>
      <c r="D48" s="195" t="s">
        <v>449</v>
      </c>
      <c r="E48" s="195" t="s">
        <v>449</v>
      </c>
    </row>
    <row r="49" spans="1:3" ht="15" customHeight="1" x14ac:dyDescent="0.25">
      <c r="A49" s="430" t="s">
        <v>468</v>
      </c>
      <c r="B49" s="431"/>
      <c r="C49" s="431"/>
    </row>
    <row r="50" spans="1:3" x14ac:dyDescent="0.25">
      <c r="A50" s="287"/>
      <c r="B50" s="287"/>
      <c r="C50" s="287"/>
    </row>
    <row r="51" spans="1:3" x14ac:dyDescent="0.25">
      <c r="A51" s="287"/>
      <c r="B51" s="287"/>
      <c r="C51" s="287"/>
    </row>
    <row r="52" spans="1:3" x14ac:dyDescent="0.25">
      <c r="A52" s="287"/>
      <c r="B52" s="287"/>
      <c r="C52" s="287"/>
    </row>
    <row r="53" spans="1:3" x14ac:dyDescent="0.25">
      <c r="A53" s="287"/>
      <c r="B53" s="287"/>
      <c r="C53" s="287"/>
    </row>
    <row r="54" spans="1:3" x14ac:dyDescent="0.25">
      <c r="A54" s="287"/>
      <c r="B54" s="287"/>
      <c r="C54" s="287"/>
    </row>
  </sheetData>
  <mergeCells count="1">
    <mergeCell ref="A49:C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1"/>
  <sheetViews>
    <sheetView workbookViewId="0">
      <pane xSplit="1" topLeftCell="O1" activePane="topRight" state="frozen"/>
      <selection pane="topRight" activeCell="X28" sqref="X28"/>
    </sheetView>
  </sheetViews>
  <sheetFormatPr defaultColWidth="11.42578125" defaultRowHeight="15" x14ac:dyDescent="0.25"/>
  <cols>
    <col min="1" max="1" width="53.7109375" style="154" customWidth="1"/>
    <col min="2" max="2" width="12.7109375" style="154" customWidth="1"/>
    <col min="3" max="3" width="12.7109375" style="133" customWidth="1"/>
    <col min="4" max="4" width="12.7109375" style="154" customWidth="1"/>
    <col min="5" max="5" width="10" style="154" bestFit="1" customWidth="1"/>
    <col min="6" max="6" width="2.7109375" style="251" customWidth="1"/>
    <col min="7" max="7" width="9.140625" style="286" customWidth="1"/>
    <col min="8" max="9" width="9.140625" style="154" customWidth="1"/>
    <col min="10" max="10" width="17.140625" style="154" customWidth="1"/>
    <col min="11" max="11" width="2.7109375" style="154" customWidth="1"/>
    <col min="12" max="14" width="9.140625" style="154" customWidth="1"/>
    <col min="15" max="15" width="16.85546875" style="154" customWidth="1"/>
    <col min="16" max="16" width="2.7109375" style="154" customWidth="1"/>
    <col min="17" max="19" width="9.140625" style="154" customWidth="1"/>
    <col min="20" max="20" width="11.42578125" style="154" customWidth="1"/>
    <col min="21" max="24" width="9.140625" style="154" customWidth="1"/>
    <col min="25" max="25" width="12" style="154" customWidth="1"/>
    <col min="26" max="253" width="9.140625" style="154" customWidth="1"/>
    <col min="254" max="16384" width="11.42578125" style="154"/>
  </cols>
  <sheetData>
    <row r="1" spans="1:30" x14ac:dyDescent="0.25">
      <c r="A1" s="133"/>
    </row>
    <row r="2" spans="1:30" s="153" customFormat="1" ht="6" customHeight="1" x14ac:dyDescent="0.2">
      <c r="F2" s="284"/>
    </row>
    <row r="3" spans="1:30" s="153" customFormat="1" ht="6" customHeight="1" x14ac:dyDescent="0.2">
      <c r="F3" s="284"/>
    </row>
    <row r="4" spans="1:30" ht="18" x14ac:dyDescent="0.25">
      <c r="A4" s="136" t="s">
        <v>530</v>
      </c>
      <c r="G4" s="133"/>
      <c r="H4" s="133"/>
      <c r="I4" s="133"/>
      <c r="J4" s="133"/>
    </row>
    <row r="5" spans="1:30" ht="18" x14ac:dyDescent="0.25">
      <c r="A5" s="136"/>
      <c r="G5" s="133"/>
      <c r="H5" s="133"/>
      <c r="I5" s="133"/>
      <c r="J5" s="133"/>
    </row>
    <row r="6" spans="1:30" x14ac:dyDescent="0.25">
      <c r="A6" s="427"/>
      <c r="B6" s="432">
        <v>43830</v>
      </c>
      <c r="C6" s="433"/>
      <c r="D6" s="433"/>
      <c r="E6" s="434"/>
      <c r="F6" s="539"/>
      <c r="G6" s="432">
        <v>43921</v>
      </c>
      <c r="H6" s="433"/>
      <c r="I6" s="433"/>
      <c r="J6" s="434"/>
      <c r="L6" s="432">
        <v>44012</v>
      </c>
      <c r="M6" s="433"/>
      <c r="N6" s="433"/>
      <c r="O6" s="434"/>
      <c r="Q6" s="432">
        <v>44104</v>
      </c>
      <c r="R6" s="433"/>
      <c r="S6" s="433"/>
      <c r="T6" s="434"/>
      <c r="V6" s="432">
        <v>44196</v>
      </c>
      <c r="W6" s="433"/>
      <c r="X6" s="433"/>
      <c r="Y6" s="434"/>
      <c r="AA6" s="432">
        <v>44286</v>
      </c>
      <c r="AB6" s="433"/>
      <c r="AC6" s="433"/>
      <c r="AD6" s="434"/>
    </row>
    <row r="7" spans="1:30" ht="33.75" x14ac:dyDescent="0.25">
      <c r="A7" s="264" t="s">
        <v>22</v>
      </c>
      <c r="B7" s="265" t="s">
        <v>469</v>
      </c>
      <c r="C7" s="266" t="s">
        <v>470</v>
      </c>
      <c r="D7" s="266" t="s">
        <v>471</v>
      </c>
      <c r="E7" s="267" t="s">
        <v>123</v>
      </c>
      <c r="F7" s="540"/>
      <c r="G7" s="265" t="s">
        <v>469</v>
      </c>
      <c r="H7" s="266" t="s">
        <v>470</v>
      </c>
      <c r="I7" s="266" t="s">
        <v>471</v>
      </c>
      <c r="J7" s="267" t="s">
        <v>123</v>
      </c>
      <c r="L7" s="265" t="s">
        <v>469</v>
      </c>
      <c r="M7" s="266" t="s">
        <v>470</v>
      </c>
      <c r="N7" s="266" t="s">
        <v>471</v>
      </c>
      <c r="O7" s="267" t="s">
        <v>123</v>
      </c>
      <c r="Q7" s="265" t="s">
        <v>469</v>
      </c>
      <c r="R7" s="266" t="s">
        <v>470</v>
      </c>
      <c r="S7" s="266" t="s">
        <v>471</v>
      </c>
      <c r="T7" s="267" t="s">
        <v>123</v>
      </c>
      <c r="V7" s="265" t="s">
        <v>469</v>
      </c>
      <c r="W7" s="266" t="s">
        <v>470</v>
      </c>
      <c r="X7" s="266" t="s">
        <v>471</v>
      </c>
      <c r="Y7" s="267" t="s">
        <v>123</v>
      </c>
      <c r="AA7" s="265" t="s">
        <v>469</v>
      </c>
      <c r="AB7" s="266" t="s">
        <v>470</v>
      </c>
      <c r="AC7" s="266" t="s">
        <v>471</v>
      </c>
      <c r="AD7" s="267" t="s">
        <v>123</v>
      </c>
    </row>
    <row r="8" spans="1:30" x14ac:dyDescent="0.25">
      <c r="A8" s="141" t="s">
        <v>531</v>
      </c>
      <c r="B8" s="187"/>
      <c r="C8" s="204"/>
      <c r="D8" s="187"/>
      <c r="E8" s="187"/>
      <c r="F8" s="541"/>
      <c r="G8" s="186"/>
      <c r="H8" s="204"/>
      <c r="I8" s="187"/>
      <c r="J8" s="187"/>
      <c r="L8" s="186"/>
      <c r="M8" s="204"/>
      <c r="N8" s="187"/>
      <c r="O8" s="187"/>
      <c r="Q8" s="186"/>
      <c r="R8" s="204"/>
      <c r="S8" s="187"/>
      <c r="T8" s="187"/>
      <c r="V8" s="186"/>
      <c r="W8" s="204"/>
      <c r="X8" s="187"/>
      <c r="Y8" s="187"/>
      <c r="AA8" s="186"/>
      <c r="AB8" s="204"/>
      <c r="AC8" s="187"/>
      <c r="AD8" s="187"/>
    </row>
    <row r="9" spans="1:30" x14ac:dyDescent="0.25">
      <c r="A9" s="285" t="s">
        <v>601</v>
      </c>
      <c r="B9" s="186">
        <v>614.66767404999541</v>
      </c>
      <c r="C9" s="203">
        <v>0.2</v>
      </c>
      <c r="D9" s="186">
        <v>122.93353480999909</v>
      </c>
      <c r="E9" s="186">
        <v>9.8346827847999272</v>
      </c>
      <c r="F9" s="542"/>
      <c r="G9" s="186">
        <v>666.07197044000361</v>
      </c>
      <c r="H9" s="203">
        <v>0.2</v>
      </c>
      <c r="I9" s="186">
        <v>133.21439408800072</v>
      </c>
      <c r="J9" s="186">
        <v>10.657151527040057</v>
      </c>
      <c r="L9" s="186">
        <v>1292.0612479799993</v>
      </c>
      <c r="M9" s="203">
        <v>0.2</v>
      </c>
      <c r="N9" s="186">
        <v>258.41224959599987</v>
      </c>
      <c r="O9" s="186">
        <v>20.672979967679989</v>
      </c>
      <c r="Q9" s="186">
        <v>1466.8256898499976</v>
      </c>
      <c r="R9" s="203">
        <v>0.2</v>
      </c>
      <c r="S9" s="186">
        <v>293.36513796999952</v>
      </c>
      <c r="T9" s="186">
        <v>23.469211037599962</v>
      </c>
      <c r="V9" s="186">
        <f>X9/W9</f>
        <v>1204.1884715799983</v>
      </c>
      <c r="W9" s="203">
        <v>0.2</v>
      </c>
      <c r="X9" s="186">
        <v>240.83769431599967</v>
      </c>
      <c r="Y9" s="186">
        <f>X9*0.08</f>
        <v>19.267015545279975</v>
      </c>
      <c r="AA9" s="186">
        <f>AC9/AB9</f>
        <v>1141.7213592400049</v>
      </c>
      <c r="AB9" s="203">
        <v>0.2</v>
      </c>
      <c r="AC9" s="186">
        <f>228344.271848001/1000</f>
        <v>228.344271848001</v>
      </c>
      <c r="AD9" s="186">
        <f>AC9*0.08</f>
        <v>18.267541747840081</v>
      </c>
    </row>
    <row r="10" spans="1:30" x14ac:dyDescent="0.25">
      <c r="A10" s="285" t="s">
        <v>606</v>
      </c>
      <c r="B10" s="186">
        <v>7780.9580981427553</v>
      </c>
      <c r="C10" s="203">
        <v>0.75</v>
      </c>
      <c r="D10" s="186">
        <v>5835.718573607066</v>
      </c>
      <c r="E10" s="186">
        <v>466.85748588856529</v>
      </c>
      <c r="F10" s="542"/>
      <c r="G10" s="186">
        <v>7861.6518015612655</v>
      </c>
      <c r="H10" s="203">
        <v>0.75</v>
      </c>
      <c r="I10" s="186">
        <v>5896.2388511709487</v>
      </c>
      <c r="J10" s="186">
        <v>471.69910809367593</v>
      </c>
      <c r="L10" s="186">
        <v>7331.6581203197429</v>
      </c>
      <c r="M10" s="203">
        <v>0.75</v>
      </c>
      <c r="N10" s="186">
        <v>5498.7435902398074</v>
      </c>
      <c r="O10" s="186">
        <v>439.89948721918461</v>
      </c>
      <c r="Q10" s="186">
        <v>7267.3137842990809</v>
      </c>
      <c r="R10" s="203">
        <v>0.75</v>
      </c>
      <c r="S10" s="186">
        <v>5450.4853382243109</v>
      </c>
      <c r="T10" s="186">
        <v>436.0388270579449</v>
      </c>
      <c r="V10" s="186">
        <f t="shared" ref="V10:V14" si="0">X10/W10</f>
        <v>7196.8397988926126</v>
      </c>
      <c r="W10" s="203">
        <v>0.75</v>
      </c>
      <c r="X10" s="186">
        <f>5397629.84916946/1000</f>
        <v>5397.6298491694597</v>
      </c>
      <c r="Y10" s="186">
        <f t="shared" ref="Y10:Y14" si="1">X10*0.08</f>
        <v>431.8103879335568</v>
      </c>
      <c r="AA10" s="186">
        <f t="shared" ref="AA10:AA14" si="2">AC10/AB10</f>
        <v>6720.8615469685865</v>
      </c>
      <c r="AB10" s="203">
        <v>0.75</v>
      </c>
      <c r="AC10" s="186">
        <f>5040646.16022644/1000</f>
        <v>5040.6461602264399</v>
      </c>
      <c r="AD10" s="186">
        <f t="shared" ref="AD10:AD14" si="3">AC10*0.08</f>
        <v>403.2516928181152</v>
      </c>
    </row>
    <row r="11" spans="1:30" x14ac:dyDescent="0.25">
      <c r="A11" s="285" t="s">
        <v>602</v>
      </c>
      <c r="B11" s="186">
        <v>90.778524160000032</v>
      </c>
      <c r="C11" s="203">
        <v>0.1</v>
      </c>
      <c r="D11" s="186">
        <v>9.0778524160000043</v>
      </c>
      <c r="E11" s="186">
        <v>0.72622819328000032</v>
      </c>
      <c r="F11" s="542"/>
      <c r="G11" s="186">
        <v>104.94127399999998</v>
      </c>
      <c r="H11" s="203">
        <v>0.1</v>
      </c>
      <c r="I11" s="186">
        <v>10.494127399999998</v>
      </c>
      <c r="J11" s="186">
        <v>0.8395301919999999</v>
      </c>
      <c r="L11" s="186">
        <v>301.89060099999989</v>
      </c>
      <c r="M11" s="203">
        <v>0.1</v>
      </c>
      <c r="N11" s="186">
        <v>30.189060099999992</v>
      </c>
      <c r="O11" s="186">
        <v>2.4151248079999994</v>
      </c>
      <c r="Q11" s="186">
        <f>2585201.63508/1000</f>
        <v>2585.20163508</v>
      </c>
      <c r="R11" s="203">
        <f>S11/Q11</f>
        <v>6.905004053290259E-2</v>
      </c>
      <c r="S11" s="186">
        <v>178.50827768800005</v>
      </c>
      <c r="T11" s="186">
        <v>14.280662215040005</v>
      </c>
      <c r="V11" s="186">
        <f>1848024.76605/1000</f>
        <v>1848.0247660499999</v>
      </c>
      <c r="W11" s="203">
        <f>X11/V11</f>
        <v>5.021472832604304E-2</v>
      </c>
      <c r="X11" s="186">
        <v>92.798061566999991</v>
      </c>
      <c r="Y11" s="186">
        <f t="shared" si="1"/>
        <v>7.4238449253599992</v>
      </c>
      <c r="AA11" s="186">
        <f>2287427.73183/1000</f>
        <v>2287.4277318300001</v>
      </c>
      <c r="AB11" s="203">
        <f>AC11/AA11</f>
        <v>3.9401668178996388E-2</v>
      </c>
      <c r="AC11" s="186">
        <f>90128.468473/1000</f>
        <v>90.128468472999998</v>
      </c>
      <c r="AD11" s="186">
        <f t="shared" si="3"/>
        <v>7.2102774778400001</v>
      </c>
    </row>
    <row r="12" spans="1:30" x14ac:dyDescent="0.25">
      <c r="A12" s="285" t="s">
        <v>603</v>
      </c>
      <c r="B12" s="186">
        <v>884.55986672337633</v>
      </c>
      <c r="C12" s="203">
        <v>1</v>
      </c>
      <c r="D12" s="186">
        <v>884.55986672337633</v>
      </c>
      <c r="E12" s="186">
        <v>70.764789337870113</v>
      </c>
      <c r="F12" s="542"/>
      <c r="G12" s="186">
        <v>1082.8661975396581</v>
      </c>
      <c r="H12" s="203">
        <v>1</v>
      </c>
      <c r="I12" s="186">
        <v>1082.8661975396581</v>
      </c>
      <c r="J12" s="186">
        <v>86.629295803172653</v>
      </c>
      <c r="L12" s="186">
        <v>1164.8606085557865</v>
      </c>
      <c r="M12" s="203">
        <v>1</v>
      </c>
      <c r="N12" s="186">
        <v>1164.8606085557865</v>
      </c>
      <c r="O12" s="186">
        <v>93.188848684462926</v>
      </c>
      <c r="Q12" s="186">
        <v>1162.2488533198286</v>
      </c>
      <c r="R12" s="203">
        <v>1</v>
      </c>
      <c r="S12" s="186">
        <v>1162.2488533198286</v>
      </c>
      <c r="T12" s="186">
        <v>92.979908265586289</v>
      </c>
      <c r="V12" s="186">
        <f t="shared" si="0"/>
        <v>1323.7319421375898</v>
      </c>
      <c r="W12" s="203">
        <v>1</v>
      </c>
      <c r="X12" s="186">
        <f>1323731.94213759/1000</f>
        <v>1323.7319421375898</v>
      </c>
      <c r="Y12" s="186">
        <f t="shared" si="1"/>
        <v>105.89855537100719</v>
      </c>
      <c r="AA12" s="186">
        <f t="shared" si="2"/>
        <v>1415.30953326394</v>
      </c>
      <c r="AB12" s="203">
        <v>1</v>
      </c>
      <c r="AC12" s="186">
        <f>1415309.53326394/1000</f>
        <v>1415.30953326394</v>
      </c>
      <c r="AD12" s="186">
        <f t="shared" si="3"/>
        <v>113.22476266111521</v>
      </c>
    </row>
    <row r="13" spans="1:30" x14ac:dyDescent="0.25">
      <c r="A13" s="285" t="s">
        <v>604</v>
      </c>
      <c r="B13" s="186">
        <v>24.533353926177544</v>
      </c>
      <c r="C13" s="203">
        <v>1.5</v>
      </c>
      <c r="D13" s="186">
        <v>36.800030889266317</v>
      </c>
      <c r="E13" s="186">
        <v>2.9440024711413053</v>
      </c>
      <c r="F13" s="542"/>
      <c r="G13" s="186">
        <v>66.067108971733447</v>
      </c>
      <c r="H13" s="203">
        <v>1.5</v>
      </c>
      <c r="I13" s="186">
        <v>99.100663457600177</v>
      </c>
      <c r="J13" s="186">
        <v>7.9280530766080144</v>
      </c>
      <c r="L13" s="186">
        <v>81.308250344443863</v>
      </c>
      <c r="M13" s="203">
        <v>1.5</v>
      </c>
      <c r="N13" s="186">
        <v>121.9623755166658</v>
      </c>
      <c r="O13" s="186">
        <v>9.756990041333264</v>
      </c>
      <c r="Q13" s="186">
        <v>87.846020459048532</v>
      </c>
      <c r="R13" s="203">
        <v>1.5</v>
      </c>
      <c r="S13" s="186">
        <v>131.7690306885728</v>
      </c>
      <c r="T13" s="186">
        <v>10.541522455085824</v>
      </c>
      <c r="V13" s="186">
        <f t="shared" si="0"/>
        <v>0</v>
      </c>
      <c r="W13" s="203">
        <v>1.5</v>
      </c>
      <c r="X13" s="154">
        <v>0</v>
      </c>
      <c r="Y13" s="186">
        <f t="shared" si="1"/>
        <v>0</v>
      </c>
      <c r="AA13" s="186">
        <f t="shared" si="2"/>
        <v>0</v>
      </c>
      <c r="AB13" s="203">
        <v>1.5</v>
      </c>
      <c r="AC13" s="154">
        <v>0</v>
      </c>
      <c r="AD13" s="186">
        <f t="shared" si="3"/>
        <v>0</v>
      </c>
    </row>
    <row r="14" spans="1:30" x14ac:dyDescent="0.25">
      <c r="A14" s="285" t="s">
        <v>605</v>
      </c>
      <c r="B14" s="186">
        <v>36.155033840000002</v>
      </c>
      <c r="C14" s="203">
        <v>1</v>
      </c>
      <c r="D14" s="186">
        <v>36.155033840000002</v>
      </c>
      <c r="E14" s="186">
        <v>2.8924027072</v>
      </c>
      <c r="F14" s="542"/>
      <c r="G14" s="186">
        <v>33.366833320000005</v>
      </c>
      <c r="H14" s="203">
        <v>1</v>
      </c>
      <c r="I14" s="186">
        <v>33.366833320000005</v>
      </c>
      <c r="J14" s="186">
        <v>2.6693466656000004</v>
      </c>
      <c r="L14" s="186">
        <v>28.562787629999999</v>
      </c>
      <c r="M14" s="203">
        <v>1</v>
      </c>
      <c r="N14" s="186">
        <v>28.562787629999999</v>
      </c>
      <c r="O14" s="186">
        <v>2.2850230103999998</v>
      </c>
      <c r="Q14" s="186">
        <v>26.359653270000003</v>
      </c>
      <c r="R14" s="203">
        <v>1</v>
      </c>
      <c r="S14" s="186">
        <v>26.359653270000003</v>
      </c>
      <c r="T14" s="186">
        <v>2.1087722616000004</v>
      </c>
      <c r="V14" s="186">
        <f t="shared" si="0"/>
        <v>18.68129678</v>
      </c>
      <c r="W14" s="203">
        <v>1</v>
      </c>
      <c r="X14" s="186">
        <v>18.68129678</v>
      </c>
      <c r="Y14" s="186">
        <f t="shared" si="1"/>
        <v>1.4945037424000001</v>
      </c>
      <c r="AA14" s="186">
        <f t="shared" si="2"/>
        <v>22.1657899</v>
      </c>
      <c r="AB14" s="203">
        <v>1</v>
      </c>
      <c r="AC14" s="186">
        <f>22165.7899/1000</f>
        <v>22.1657899</v>
      </c>
      <c r="AD14" s="186">
        <f t="shared" si="3"/>
        <v>1.7732631919999999</v>
      </c>
    </row>
    <row r="15" spans="1:30" x14ac:dyDescent="0.25">
      <c r="A15" s="141" t="s">
        <v>532</v>
      </c>
      <c r="B15" s="187"/>
      <c r="C15" s="204"/>
      <c r="D15" s="187"/>
      <c r="E15" s="187"/>
      <c r="F15" s="541"/>
      <c r="G15" s="186"/>
      <c r="H15" s="204"/>
      <c r="I15" s="187"/>
      <c r="J15" s="187"/>
      <c r="L15" s="186"/>
      <c r="M15" s="204"/>
      <c r="N15" s="187"/>
      <c r="O15" s="187"/>
      <c r="Q15" s="186"/>
      <c r="R15" s="204"/>
      <c r="S15" s="187"/>
      <c r="T15" s="187"/>
      <c r="V15" s="186"/>
      <c r="W15" s="204"/>
      <c r="X15" s="187"/>
      <c r="Y15" s="187"/>
      <c r="AA15" s="186"/>
      <c r="AB15" s="204"/>
      <c r="AC15" s="187"/>
      <c r="AD15" s="187"/>
    </row>
    <row r="16" spans="1:30" x14ac:dyDescent="0.25">
      <c r="A16" s="141" t="s">
        <v>172</v>
      </c>
      <c r="B16" s="187"/>
      <c r="C16" s="204"/>
      <c r="D16" s="187"/>
      <c r="E16" s="187"/>
      <c r="F16" s="541"/>
      <c r="G16" s="186"/>
      <c r="H16" s="204"/>
      <c r="I16" s="187"/>
      <c r="J16" s="187"/>
      <c r="L16" s="186"/>
      <c r="M16" s="204"/>
      <c r="N16" s="187"/>
      <c r="O16" s="187"/>
      <c r="Q16" s="186"/>
      <c r="R16" s="204"/>
      <c r="S16" s="187"/>
      <c r="T16" s="187"/>
      <c r="V16" s="186"/>
      <c r="W16" s="204"/>
      <c r="X16" s="187"/>
      <c r="Y16" s="187"/>
      <c r="AA16" s="186"/>
      <c r="AB16" s="204"/>
      <c r="AC16" s="187"/>
      <c r="AD16" s="187"/>
    </row>
    <row r="17" spans="1:30" x14ac:dyDescent="0.25">
      <c r="A17" s="141" t="s">
        <v>534</v>
      </c>
      <c r="B17" s="187"/>
      <c r="C17" s="204"/>
      <c r="D17" s="186">
        <v>1822.6166284750002</v>
      </c>
      <c r="E17" s="186">
        <v>145.80933027800003</v>
      </c>
      <c r="F17" s="541"/>
      <c r="G17" s="186"/>
      <c r="H17" s="204"/>
      <c r="I17" s="186">
        <v>1822.6166284750002</v>
      </c>
      <c r="J17" s="186">
        <v>145.80933027800003</v>
      </c>
      <c r="L17" s="186"/>
      <c r="M17" s="204"/>
      <c r="N17" s="186">
        <v>1822.6166284750002</v>
      </c>
      <c r="O17" s="186">
        <v>145.80933027800003</v>
      </c>
      <c r="Q17" s="186"/>
      <c r="R17" s="204"/>
      <c r="S17" s="186">
        <v>1822.6166284750002</v>
      </c>
      <c r="T17" s="186">
        <v>145.80933027800003</v>
      </c>
      <c r="V17" s="186"/>
      <c r="W17" s="204"/>
      <c r="X17" s="186">
        <f>1653660.91614/1000</f>
        <v>1653.6609161400002</v>
      </c>
      <c r="Y17" s="186">
        <f t="shared" ref="Y17" si="4">X17*0.08</f>
        <v>132.29287329120001</v>
      </c>
      <c r="AA17" s="186"/>
      <c r="AB17" s="204"/>
      <c r="AC17" s="186">
        <f>1653660.91614/1000</f>
        <v>1653.6609161400002</v>
      </c>
      <c r="AD17" s="186">
        <f t="shared" ref="AD17" si="5">AC17*0.08</f>
        <v>132.29287329120001</v>
      </c>
    </row>
    <row r="18" spans="1:30" x14ac:dyDescent="0.25">
      <c r="A18" s="141" t="s">
        <v>473</v>
      </c>
      <c r="B18" s="187"/>
      <c r="C18" s="204"/>
      <c r="D18" s="187"/>
      <c r="E18" s="187"/>
      <c r="F18" s="541"/>
      <c r="G18" s="186"/>
      <c r="H18" s="204"/>
      <c r="I18" s="187"/>
      <c r="J18" s="187"/>
      <c r="L18" s="186"/>
      <c r="M18" s="204"/>
      <c r="N18" s="187"/>
      <c r="O18" s="187"/>
      <c r="Q18" s="186"/>
      <c r="R18" s="204"/>
      <c r="S18" s="187"/>
      <c r="T18" s="187"/>
      <c r="V18" s="186"/>
      <c r="W18" s="204"/>
      <c r="X18" s="187"/>
      <c r="Y18" s="187"/>
      <c r="AA18" s="186"/>
      <c r="AB18" s="204"/>
      <c r="AC18" s="187"/>
      <c r="AD18" s="187"/>
    </row>
    <row r="19" spans="1:30" x14ac:dyDescent="0.25">
      <c r="A19" s="141" t="s">
        <v>533</v>
      </c>
      <c r="B19" s="187"/>
      <c r="C19" s="204"/>
      <c r="D19" s="187">
        <v>8747.8615207607072</v>
      </c>
      <c r="E19" s="187">
        <v>699.82892166085662</v>
      </c>
      <c r="F19" s="541"/>
      <c r="G19" s="186"/>
      <c r="H19" s="204"/>
      <c r="I19" s="187">
        <v>9077.8976954512091</v>
      </c>
      <c r="J19" s="187">
        <v>726.2318156360966</v>
      </c>
      <c r="L19" s="186"/>
      <c r="M19" s="204"/>
      <c r="N19" s="187">
        <v>8925.3473001132588</v>
      </c>
      <c r="O19" s="187">
        <v>714.02778400906072</v>
      </c>
      <c r="Q19" s="186"/>
      <c r="R19" s="204"/>
      <c r="S19" s="187">
        <f>W23+SUM(S9:S14)</f>
        <v>7242.7362911607115</v>
      </c>
      <c r="T19" s="187">
        <f>T17+SUM(T9:T14)</f>
        <v>725.22823357085701</v>
      </c>
      <c r="V19" s="186"/>
      <c r="W19" s="204"/>
      <c r="X19" s="187">
        <f>X17+SUM(X9:X14)</f>
        <v>8727.3397601100496</v>
      </c>
      <c r="Y19" s="186">
        <f t="shared" ref="Y19" si="6">X19*0.08</f>
        <v>698.18718080880399</v>
      </c>
      <c r="AA19" s="186"/>
      <c r="AB19" s="204"/>
      <c r="AC19" s="187">
        <f>AC17+SUM(AC9:AC14)</f>
        <v>8450.2551398513824</v>
      </c>
      <c r="AD19" s="186">
        <f t="shared" ref="AD19" si="7">AC19*0.08</f>
        <v>676.02041118811064</v>
      </c>
    </row>
    <row r="20" spans="1:30" ht="18" x14ac:dyDescent="0.25">
      <c r="A20" s="136"/>
      <c r="G20" s="133"/>
      <c r="H20" s="133"/>
      <c r="I20" s="133"/>
      <c r="J20" s="133"/>
    </row>
    <row r="21" spans="1:30" ht="18" x14ac:dyDescent="0.25">
      <c r="A21" s="136"/>
      <c r="G21" s="133"/>
      <c r="H21" s="133"/>
      <c r="I21" s="133"/>
      <c r="J21" s="133"/>
    </row>
  </sheetData>
  <mergeCells count="6">
    <mergeCell ref="AA6:AD6"/>
    <mergeCell ref="B6:E6"/>
    <mergeCell ref="G6:J6"/>
    <mergeCell ref="L6:O6"/>
    <mergeCell ref="Q6:T6"/>
    <mergeCell ref="V6:Y6"/>
  </mergeCells>
  <pageMargins left="0.7" right="0.7" top="0.75" bottom="0.75" header="0.3" footer="0.3"/>
  <pageSetup paperSize="9" orientation="portrait" r:id="rId1"/>
  <ignoredErrors>
    <ignoredError sqref="V11:AA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L174"/>
  <sheetViews>
    <sheetView workbookViewId="0">
      <selection activeCell="C10" sqref="C10"/>
    </sheetView>
  </sheetViews>
  <sheetFormatPr defaultColWidth="11.42578125" defaultRowHeight="15" x14ac:dyDescent="0.25"/>
  <cols>
    <col min="1" max="1" width="25.7109375" style="154" customWidth="1"/>
    <col min="2" max="2" width="26.28515625" style="154" customWidth="1"/>
    <col min="3" max="3" width="12.42578125" style="133" customWidth="1"/>
    <col min="4" max="4" width="12.28515625" style="154" customWidth="1"/>
    <col min="5" max="5" width="11.85546875" style="154" customWidth="1"/>
    <col min="6" max="6" width="12" style="154" customWidth="1"/>
    <col min="7" max="251" width="9.140625" style="154" customWidth="1"/>
    <col min="252" max="16384" width="11.42578125" style="154"/>
  </cols>
  <sheetData>
    <row r="1" spans="1:12" x14ac:dyDescent="0.25">
      <c r="A1" s="133"/>
    </row>
    <row r="2" spans="1:12" s="212" customFormat="1" ht="6" customHeight="1" x14ac:dyDescent="0.2"/>
    <row r="3" spans="1:12" ht="18" x14ac:dyDescent="0.25">
      <c r="A3" s="136" t="s">
        <v>473</v>
      </c>
    </row>
    <row r="4" spans="1:12" s="214" customFormat="1" ht="14.25" x14ac:dyDescent="0.2">
      <c r="A4" s="213"/>
      <c r="C4" s="133"/>
    </row>
    <row r="5" spans="1:12" s="216" customFormat="1" ht="12.75" x14ac:dyDescent="0.2">
      <c r="A5" s="215" t="s">
        <v>474</v>
      </c>
      <c r="C5" s="217"/>
    </row>
    <row r="6" spans="1:12" s="216" customFormat="1" ht="12.75" x14ac:dyDescent="0.2">
      <c r="A6" s="263" t="s">
        <v>526</v>
      </c>
      <c r="C6" s="217"/>
    </row>
    <row r="7" spans="1:12" s="216" customFormat="1" ht="12.75" x14ac:dyDescent="0.2">
      <c r="A7" s="263" t="s">
        <v>527</v>
      </c>
      <c r="C7" s="217"/>
    </row>
    <row r="8" spans="1:12" s="216" customFormat="1" ht="12.75" x14ac:dyDescent="0.2">
      <c r="A8" s="263" t="s">
        <v>528</v>
      </c>
      <c r="C8" s="217"/>
    </row>
    <row r="9" spans="1:12" s="216" customFormat="1" ht="11.25" x14ac:dyDescent="0.2">
      <c r="A9" s="218"/>
      <c r="B9" s="219"/>
      <c r="C9" s="219"/>
      <c r="D9" s="219"/>
      <c r="E9" s="219"/>
      <c r="F9" s="219"/>
      <c r="G9" s="219"/>
      <c r="H9" s="219"/>
      <c r="I9" s="219"/>
      <c r="J9" s="219"/>
      <c r="K9" s="219"/>
    </row>
    <row r="10" spans="1:12" ht="15" customHeight="1" x14ac:dyDescent="0.25">
      <c r="A10" s="288" t="s">
        <v>475</v>
      </c>
      <c r="B10" s="288"/>
      <c r="C10" s="295"/>
      <c r="D10" s="291"/>
      <c r="E10" s="291"/>
      <c r="F10" s="207"/>
      <c r="G10" s="207"/>
      <c r="H10" s="207"/>
      <c r="I10" s="207"/>
      <c r="J10" s="207"/>
      <c r="K10" s="207"/>
      <c r="L10" s="207"/>
    </row>
    <row r="11" spans="1:12" x14ac:dyDescent="0.25">
      <c r="A11" s="289" t="s">
        <v>22</v>
      </c>
      <c r="B11" s="290"/>
      <c r="C11" s="296">
        <v>44196</v>
      </c>
      <c r="D11" s="292"/>
      <c r="E11" s="292"/>
      <c r="F11" s="207"/>
      <c r="G11" s="207"/>
      <c r="H11" s="207"/>
      <c r="I11" s="207"/>
      <c r="J11" s="207"/>
      <c r="K11" s="207"/>
      <c r="L11" s="207"/>
    </row>
    <row r="12" spans="1:12" x14ac:dyDescent="0.25">
      <c r="A12" s="437" t="s">
        <v>476</v>
      </c>
      <c r="B12" s="438"/>
      <c r="C12" s="220">
        <f>9506948.09999/1000</f>
        <v>9506.9480999899988</v>
      </c>
      <c r="D12" s="293"/>
      <c r="E12" s="293"/>
      <c r="F12" s="207"/>
      <c r="G12" s="207"/>
      <c r="H12" s="207"/>
      <c r="I12" s="207"/>
      <c r="J12" s="207"/>
      <c r="K12" s="207"/>
      <c r="L12" s="207"/>
    </row>
    <row r="13" spans="1:12" x14ac:dyDescent="0.25">
      <c r="A13" s="437" t="s">
        <v>477</v>
      </c>
      <c r="B13" s="438"/>
      <c r="C13" s="220">
        <f>1848024.76605/1000</f>
        <v>1848.0247660499999</v>
      </c>
      <c r="D13" s="293"/>
      <c r="E13" s="293"/>
      <c r="F13" s="207"/>
      <c r="G13" s="207"/>
      <c r="H13" s="207"/>
      <c r="I13" s="207"/>
      <c r="J13" s="207"/>
      <c r="K13" s="207"/>
      <c r="L13" s="207"/>
    </row>
    <row r="14" spans="1:12" s="211" customFormat="1" x14ac:dyDescent="0.25">
      <c r="A14" s="435" t="s">
        <v>478</v>
      </c>
      <c r="B14" s="436"/>
      <c r="C14" s="221">
        <f>C12+C13</f>
        <v>11354.97286604</v>
      </c>
      <c r="D14" s="294"/>
      <c r="E14" s="294"/>
      <c r="F14" s="222"/>
      <c r="G14" s="222"/>
      <c r="H14" s="222"/>
      <c r="I14" s="222"/>
      <c r="J14" s="222"/>
      <c r="K14" s="222"/>
      <c r="L14" s="222"/>
    </row>
    <row r="15" spans="1:12" x14ac:dyDescent="0.25">
      <c r="A15" s="437" t="s">
        <v>479</v>
      </c>
      <c r="B15" s="438"/>
      <c r="C15" s="220">
        <f>8991771.32021/1000</f>
        <v>8991.7713202100003</v>
      </c>
      <c r="D15" s="293"/>
      <c r="E15" s="293"/>
      <c r="F15" s="207"/>
      <c r="G15" s="207"/>
      <c r="H15" s="207"/>
      <c r="I15" s="207"/>
      <c r="J15" s="207"/>
      <c r="K15" s="207"/>
      <c r="L15" s="207"/>
    </row>
    <row r="16" spans="1:12" x14ac:dyDescent="0.25">
      <c r="A16" s="437" t="s">
        <v>477</v>
      </c>
      <c r="B16" s="438"/>
      <c r="C16" s="220">
        <v>0</v>
      </c>
      <c r="D16" s="293"/>
      <c r="E16" s="293"/>
      <c r="F16" s="207"/>
      <c r="G16" s="207"/>
      <c r="H16" s="207"/>
      <c r="I16" s="207"/>
      <c r="J16" s="207"/>
      <c r="K16" s="207"/>
      <c r="L16" s="207"/>
    </row>
    <row r="17" spans="1:12" s="211" customFormat="1" x14ac:dyDescent="0.25">
      <c r="A17" s="435" t="s">
        <v>480</v>
      </c>
      <c r="B17" s="436"/>
      <c r="C17" s="221">
        <f>C15+C16</f>
        <v>8991.7713202100003</v>
      </c>
      <c r="D17" s="294"/>
      <c r="E17" s="294"/>
      <c r="F17" s="222"/>
      <c r="G17" s="222"/>
      <c r="H17" s="222"/>
      <c r="I17" s="222"/>
      <c r="J17" s="222"/>
      <c r="K17" s="222"/>
      <c r="L17" s="222"/>
    </row>
    <row r="18" spans="1:12" s="211" customFormat="1" x14ac:dyDescent="0.25">
      <c r="A18" s="435" t="s">
        <v>30</v>
      </c>
      <c r="B18" s="436"/>
      <c r="C18" s="221">
        <f>C14-C17</f>
        <v>2363.2015458299993</v>
      </c>
      <c r="D18" s="294"/>
      <c r="E18" s="294"/>
      <c r="F18" s="222"/>
      <c r="G18" s="222"/>
      <c r="H18" s="222"/>
      <c r="I18" s="222"/>
      <c r="J18" s="222"/>
      <c r="K18" s="222"/>
      <c r="L18" s="222"/>
    </row>
    <row r="19" spans="1:12" s="211" customFormat="1" x14ac:dyDescent="0.25">
      <c r="A19" s="261"/>
      <c r="B19" s="261"/>
      <c r="C19" s="262"/>
      <c r="D19" s="262"/>
      <c r="E19" s="262"/>
      <c r="F19" s="222"/>
      <c r="G19" s="222"/>
      <c r="H19" s="222"/>
      <c r="I19" s="222"/>
      <c r="J19" s="222"/>
      <c r="K19" s="222"/>
      <c r="L19" s="222"/>
    </row>
    <row r="20" spans="1:12" x14ac:dyDescent="0.25">
      <c r="A20" s="223"/>
      <c r="B20" s="207"/>
      <c r="C20" s="208"/>
      <c r="D20" s="207"/>
      <c r="E20" s="207"/>
      <c r="F20" s="207"/>
      <c r="G20" s="207"/>
      <c r="H20" s="207"/>
      <c r="I20" s="207"/>
      <c r="J20" s="207"/>
      <c r="K20" s="207"/>
    </row>
    <row r="21" spans="1:12" ht="15" customHeight="1" x14ac:dyDescent="0.25">
      <c r="A21" s="439" t="s">
        <v>481</v>
      </c>
      <c r="B21" s="439"/>
      <c r="C21" s="439"/>
      <c r="D21" s="439"/>
      <c r="E21" s="439"/>
      <c r="F21" s="439"/>
      <c r="G21" s="439"/>
      <c r="H21" s="439"/>
      <c r="I21" s="207"/>
      <c r="J21" s="207"/>
      <c r="K21" s="207"/>
    </row>
    <row r="22" spans="1:12" ht="22.5" x14ac:dyDescent="0.25">
      <c r="A22" s="264" t="s">
        <v>22</v>
      </c>
      <c r="B22" s="276"/>
      <c r="C22" s="277" t="s">
        <v>482</v>
      </c>
      <c r="D22" s="277" t="s">
        <v>483</v>
      </c>
      <c r="E22" s="277" t="s">
        <v>607</v>
      </c>
      <c r="F22" s="277" t="s">
        <v>608</v>
      </c>
      <c r="G22" s="277" t="s">
        <v>484</v>
      </c>
      <c r="H22" s="276" t="s">
        <v>30</v>
      </c>
      <c r="I22" s="207"/>
      <c r="J22" s="207"/>
      <c r="K22" s="207"/>
    </row>
    <row r="23" spans="1:12" x14ac:dyDescent="0.25">
      <c r="A23" s="437" t="s">
        <v>690</v>
      </c>
      <c r="B23" s="438"/>
      <c r="C23" s="205">
        <f>11.1/2</f>
        <v>5.55</v>
      </c>
      <c r="D23" s="205"/>
      <c r="E23" s="205"/>
      <c r="F23" s="205"/>
      <c r="G23" s="205"/>
      <c r="H23" s="205">
        <f>C23</f>
        <v>5.55</v>
      </c>
      <c r="I23" s="207"/>
      <c r="J23" s="207"/>
      <c r="K23" s="207"/>
    </row>
    <row r="24" spans="1:12" x14ac:dyDescent="0.25">
      <c r="A24" s="223"/>
      <c r="B24" s="207"/>
      <c r="C24" s="208"/>
      <c r="D24" s="207"/>
      <c r="E24" s="207"/>
      <c r="F24" s="207"/>
      <c r="G24" s="207"/>
      <c r="H24" s="207"/>
      <c r="I24" s="207"/>
      <c r="J24" s="207"/>
      <c r="K24" s="207"/>
    </row>
    <row r="25" spans="1:12" x14ac:dyDescent="0.25">
      <c r="A25" s="223"/>
      <c r="B25" s="207"/>
      <c r="C25" s="208"/>
      <c r="D25" s="207"/>
      <c r="E25" s="207"/>
      <c r="F25" s="207"/>
      <c r="G25" s="297"/>
      <c r="H25" s="297"/>
      <c r="I25" s="297"/>
      <c r="J25" s="297"/>
      <c r="K25" s="297"/>
    </row>
    <row r="26" spans="1:12" x14ac:dyDescent="0.25">
      <c r="A26" s="215" t="s">
        <v>485</v>
      </c>
      <c r="B26" s="219"/>
      <c r="C26" s="219"/>
      <c r="D26" s="219"/>
      <c r="E26" s="219"/>
      <c r="F26" s="219"/>
      <c r="G26" s="298"/>
      <c r="H26" s="297"/>
      <c r="I26" s="297"/>
      <c r="J26" s="297"/>
      <c r="K26" s="297"/>
    </row>
    <row r="27" spans="1:12" x14ac:dyDescent="0.25">
      <c r="A27" s="218"/>
      <c r="B27" s="219"/>
      <c r="C27" s="219"/>
      <c r="D27" s="219"/>
      <c r="E27" s="219"/>
      <c r="F27" s="219"/>
      <c r="G27" s="298"/>
      <c r="H27" s="297"/>
      <c r="I27" s="297"/>
      <c r="J27" s="297"/>
      <c r="K27" s="297"/>
    </row>
    <row r="28" spans="1:12" x14ac:dyDescent="0.25">
      <c r="A28" s="278" t="s">
        <v>486</v>
      </c>
      <c r="B28" s="278"/>
      <c r="C28" s="278"/>
      <c r="D28" s="278"/>
      <c r="E28" s="278"/>
      <c r="F28" s="278"/>
      <c r="G28" s="299"/>
      <c r="H28" s="299"/>
      <c r="I28" s="299"/>
      <c r="J28" s="299">
        <v>1000</v>
      </c>
      <c r="K28" s="297"/>
    </row>
    <row r="29" spans="1:12" x14ac:dyDescent="0.25">
      <c r="A29" s="264" t="s">
        <v>487</v>
      </c>
      <c r="B29" s="276"/>
      <c r="C29" s="276" t="s">
        <v>488</v>
      </c>
      <c r="D29" s="276" t="s">
        <v>489</v>
      </c>
      <c r="E29" s="276" t="s">
        <v>490</v>
      </c>
      <c r="F29" s="276" t="s">
        <v>30</v>
      </c>
      <c r="G29" s="297"/>
      <c r="H29" s="3"/>
      <c r="I29" s="3"/>
      <c r="J29" s="3"/>
      <c r="K29" s="3"/>
    </row>
    <row r="30" spans="1:12" x14ac:dyDescent="0.25">
      <c r="A30" s="437" t="s">
        <v>691</v>
      </c>
      <c r="B30" s="438"/>
      <c r="C30" s="205">
        <v>0.40814664391004901</v>
      </c>
      <c r="D30" s="205">
        <v>1.8688308447598543</v>
      </c>
      <c r="E30" s="205"/>
      <c r="F30" s="205">
        <f>D30+C30</f>
        <v>2.2769774886699032</v>
      </c>
      <c r="G30" s="297"/>
      <c r="H30" s="3"/>
      <c r="I30" s="3"/>
      <c r="J30" s="3"/>
      <c r="K30" s="3"/>
    </row>
    <row r="31" spans="1:12" s="225" customFormat="1" x14ac:dyDescent="0.25">
      <c r="A31" s="440" t="s">
        <v>491</v>
      </c>
      <c r="B31" s="441"/>
      <c r="C31" s="224">
        <f>C30</f>
        <v>0.40814664391004901</v>
      </c>
      <c r="D31" s="224">
        <f>D30</f>
        <v>1.8688308447598543</v>
      </c>
      <c r="E31" s="224"/>
      <c r="F31" s="205">
        <f>F30</f>
        <v>2.2769774886699032</v>
      </c>
      <c r="G31" s="300"/>
      <c r="H31" s="301"/>
      <c r="I31" s="301"/>
      <c r="J31" s="301"/>
      <c r="K31" s="301"/>
    </row>
    <row r="32" spans="1:12" x14ac:dyDescent="0.25">
      <c r="A32" s="229"/>
      <c r="B32" s="229"/>
      <c r="C32" s="230"/>
      <c r="D32" s="231"/>
      <c r="E32" s="231"/>
      <c r="F32" s="207"/>
      <c r="G32" s="207"/>
      <c r="H32" s="207"/>
      <c r="I32" s="207"/>
      <c r="J32" s="207"/>
      <c r="K32" s="207"/>
    </row>
    <row r="33" spans="1:11" x14ac:dyDescent="0.25">
      <c r="A33" s="215" t="s">
        <v>525</v>
      </c>
      <c r="B33" s="229"/>
      <c r="C33" s="230"/>
      <c r="D33" s="231"/>
      <c r="E33" s="231"/>
      <c r="F33" s="207"/>
      <c r="G33" s="207"/>
      <c r="H33" s="207"/>
      <c r="I33" s="207"/>
      <c r="J33" s="207"/>
      <c r="K33" s="207"/>
    </row>
    <row r="34" spans="1:11" x14ac:dyDescent="0.25">
      <c r="A34" s="223"/>
      <c r="B34" s="207"/>
      <c r="C34" s="208"/>
      <c r="D34" s="207"/>
      <c r="E34" s="207"/>
      <c r="F34" s="207"/>
      <c r="G34" s="207"/>
      <c r="H34" s="207"/>
      <c r="I34" s="207"/>
      <c r="J34" s="207"/>
      <c r="K34" s="207"/>
    </row>
    <row r="35" spans="1:11" ht="15" customHeight="1" x14ac:dyDescent="0.25">
      <c r="A35" s="439" t="s">
        <v>692</v>
      </c>
      <c r="B35" s="439"/>
      <c r="C35" s="439"/>
      <c r="D35" s="439"/>
      <c r="E35" s="439"/>
      <c r="F35" s="439"/>
      <c r="G35" s="207"/>
      <c r="H35" s="207"/>
      <c r="I35" s="207"/>
      <c r="J35" s="207"/>
      <c r="K35" s="207"/>
    </row>
    <row r="36" spans="1:11" x14ac:dyDescent="0.25">
      <c r="A36" s="264" t="s">
        <v>22</v>
      </c>
      <c r="B36" s="274"/>
      <c r="C36" s="274" t="s">
        <v>493</v>
      </c>
      <c r="D36" s="274" t="s">
        <v>492</v>
      </c>
      <c r="E36" s="274" t="s">
        <v>494</v>
      </c>
      <c r="F36" s="274" t="s">
        <v>495</v>
      </c>
      <c r="G36" s="207"/>
      <c r="H36" s="207"/>
      <c r="I36" s="207"/>
      <c r="J36" s="207"/>
      <c r="K36" s="207"/>
    </row>
    <row r="37" spans="1:11" ht="15" customHeight="1" x14ac:dyDescent="0.25">
      <c r="A37" s="210" t="s">
        <v>472</v>
      </c>
      <c r="B37" s="226"/>
      <c r="C37" s="205">
        <f>('[3]Ny modell'!$Q$7+'[3]Ny modell'!$Q$11+'[3]Ny modell'!$Q$14)/1000000</f>
        <v>22.449431392777342</v>
      </c>
      <c r="D37" s="205">
        <f>('[3]Ny modell'!$I$7+'[3]Ny modell'!$I$11+'[3]Ny modell'!$I$14)/1000000</f>
        <v>839.12782586000003</v>
      </c>
      <c r="E37" s="205">
        <f>('[3]Ny modell'!$J$7+'[3]Ny modell'!$J$11+'[3]Ny modell'!$J$14)/1000000</f>
        <v>826.69993604570709</v>
      </c>
      <c r="F37" s="232">
        <f>E37/E39</f>
        <v>0.4473424551623893</v>
      </c>
      <c r="G37" s="207"/>
      <c r="H37" s="207"/>
      <c r="I37" s="207"/>
      <c r="J37" s="207"/>
      <c r="K37" s="207"/>
    </row>
    <row r="38" spans="1:11" x14ac:dyDescent="0.25">
      <c r="A38" s="233" t="s">
        <v>496</v>
      </c>
      <c r="B38" s="226"/>
      <c r="C38" s="205">
        <v>0</v>
      </c>
      <c r="D38" s="205">
        <f>('[3]Ny modell'!$I$6+'[3]Ny modell'!$I$8+'[3]Ny modell'!$I$10+'[3]Ny modell'!$I$13)/1000000</f>
        <v>1000.6222936000001</v>
      </c>
      <c r="E38" s="205">
        <f>C13-E37</f>
        <v>1021.3248300042928</v>
      </c>
      <c r="F38" s="232">
        <f>1-F37</f>
        <v>0.55265754483761076</v>
      </c>
      <c r="G38" s="207"/>
      <c r="H38" s="207"/>
      <c r="I38" s="207"/>
      <c r="J38" s="207"/>
      <c r="K38" s="207"/>
    </row>
    <row r="39" spans="1:11" x14ac:dyDescent="0.25">
      <c r="A39" s="227" t="s">
        <v>497</v>
      </c>
      <c r="B39" s="228"/>
      <c r="C39" s="206">
        <f>SUM(C37:C38)</f>
        <v>22.449431392777342</v>
      </c>
      <c r="D39" s="206">
        <f>SUM(D37:D38)</f>
        <v>1839.7501194600002</v>
      </c>
      <c r="E39" s="206">
        <f>SUM(E37:E38)</f>
        <v>1848.0247660499999</v>
      </c>
      <c r="F39" s="234">
        <v>1</v>
      </c>
      <c r="G39" s="207"/>
      <c r="H39" s="207"/>
      <c r="I39" s="207"/>
      <c r="J39" s="207"/>
      <c r="K39" s="207"/>
    </row>
    <row r="40" spans="1:11" x14ac:dyDescent="0.25">
      <c r="A40" s="207"/>
      <c r="B40" s="207"/>
      <c r="C40" s="208"/>
      <c r="D40" s="207"/>
      <c r="E40" s="207"/>
      <c r="F40" s="207"/>
      <c r="G40" s="207"/>
      <c r="H40" s="207"/>
      <c r="I40" s="207"/>
      <c r="J40" s="207"/>
      <c r="K40" s="207"/>
    </row>
    <row r="41" spans="1:11" x14ac:dyDescent="0.25">
      <c r="A41" s="207"/>
      <c r="B41" s="207"/>
      <c r="C41" s="208"/>
      <c r="D41" s="207"/>
      <c r="E41" s="207"/>
      <c r="F41" s="207"/>
      <c r="G41" s="207"/>
      <c r="H41" s="207"/>
      <c r="I41" s="207"/>
      <c r="J41" s="207"/>
      <c r="K41" s="207"/>
    </row>
    <row r="42" spans="1:11" x14ac:dyDescent="0.25">
      <c r="A42" s="207"/>
      <c r="B42" s="207"/>
      <c r="C42" s="208"/>
      <c r="D42" s="207"/>
      <c r="E42" s="207"/>
      <c r="F42" s="207"/>
      <c r="G42" s="207"/>
      <c r="H42" s="207"/>
      <c r="I42" s="207"/>
      <c r="J42" s="207"/>
      <c r="K42" s="207"/>
    </row>
    <row r="43" spans="1:11" x14ac:dyDescent="0.25">
      <c r="A43" s="207"/>
      <c r="B43" s="207"/>
      <c r="C43" s="208"/>
      <c r="D43" s="207"/>
      <c r="E43" s="207"/>
      <c r="F43" s="207"/>
      <c r="G43" s="207"/>
      <c r="H43" s="207"/>
      <c r="I43" s="207"/>
      <c r="J43" s="207"/>
      <c r="K43" s="207"/>
    </row>
    <row r="44" spans="1:11" x14ac:dyDescent="0.25">
      <c r="A44" s="207"/>
      <c r="B44" s="207"/>
      <c r="C44" s="208"/>
      <c r="D44" s="207"/>
      <c r="E44" s="207"/>
      <c r="F44" s="207"/>
      <c r="G44" s="207"/>
      <c r="H44" s="207"/>
      <c r="I44" s="207"/>
      <c r="J44" s="207"/>
      <c r="K44" s="207"/>
    </row>
    <row r="45" spans="1:11" x14ac:dyDescent="0.25">
      <c r="A45" s="207"/>
      <c r="B45" s="207"/>
      <c r="C45" s="208"/>
      <c r="D45" s="207"/>
      <c r="E45" s="207"/>
      <c r="F45" s="207"/>
      <c r="G45" s="207"/>
      <c r="H45" s="207"/>
      <c r="I45" s="207"/>
      <c r="J45" s="207"/>
      <c r="K45" s="207"/>
    </row>
    <row r="46" spans="1:11" x14ac:dyDescent="0.25">
      <c r="A46" s="207"/>
      <c r="B46" s="207"/>
      <c r="C46" s="208"/>
      <c r="D46" s="207"/>
      <c r="E46" s="207"/>
      <c r="F46" s="207"/>
      <c r="G46" s="207"/>
      <c r="H46" s="207"/>
      <c r="I46" s="207"/>
      <c r="J46" s="207"/>
      <c r="K46" s="207"/>
    </row>
    <row r="47" spans="1:11" x14ac:dyDescent="0.25">
      <c r="A47" s="207"/>
      <c r="B47" s="207"/>
      <c r="C47" s="208"/>
      <c r="D47" s="207"/>
      <c r="E47" s="207"/>
      <c r="F47" s="207"/>
      <c r="G47" s="207"/>
      <c r="H47" s="207"/>
      <c r="I47" s="207"/>
      <c r="J47" s="207"/>
      <c r="K47" s="207"/>
    </row>
    <row r="48" spans="1:11" x14ac:dyDescent="0.25">
      <c r="A48" s="207"/>
      <c r="B48" s="207"/>
      <c r="C48" s="208"/>
      <c r="D48" s="207"/>
      <c r="E48" s="207"/>
      <c r="F48" s="207"/>
      <c r="G48" s="207"/>
      <c r="H48" s="207"/>
      <c r="I48" s="207"/>
      <c r="J48" s="207"/>
      <c r="K48" s="207"/>
    </row>
    <row r="49" spans="1:11" x14ac:dyDescent="0.25">
      <c r="A49" s="207"/>
      <c r="B49" s="207"/>
      <c r="C49" s="208"/>
      <c r="D49" s="207"/>
      <c r="E49" s="207"/>
      <c r="F49" s="207"/>
      <c r="G49" s="207"/>
      <c r="H49" s="207"/>
      <c r="I49" s="207"/>
      <c r="J49" s="207"/>
      <c r="K49" s="207"/>
    </row>
    <row r="50" spans="1:11" x14ac:dyDescent="0.25">
      <c r="A50" s="207"/>
      <c r="B50" s="207"/>
      <c r="C50" s="208"/>
      <c r="D50" s="207"/>
      <c r="E50" s="207"/>
      <c r="F50" s="207"/>
      <c r="G50" s="207"/>
      <c r="H50" s="207"/>
      <c r="I50" s="207"/>
      <c r="J50" s="207"/>
      <c r="K50" s="207"/>
    </row>
    <row r="51" spans="1:11" x14ac:dyDescent="0.25">
      <c r="A51" s="207"/>
      <c r="B51" s="207"/>
      <c r="C51" s="208"/>
      <c r="D51" s="207"/>
      <c r="E51" s="207"/>
      <c r="F51" s="207"/>
      <c r="G51" s="207"/>
      <c r="H51" s="207"/>
      <c r="I51" s="207"/>
      <c r="J51" s="207"/>
      <c r="K51" s="207"/>
    </row>
    <row r="52" spans="1:11" x14ac:dyDescent="0.25">
      <c r="A52" s="207"/>
      <c r="B52" s="207"/>
      <c r="C52" s="208"/>
      <c r="D52" s="207"/>
      <c r="E52" s="207"/>
      <c r="F52" s="207"/>
      <c r="G52" s="207"/>
      <c r="H52" s="207"/>
      <c r="I52" s="207"/>
      <c r="J52" s="207"/>
      <c r="K52" s="207"/>
    </row>
    <row r="53" spans="1:11" x14ac:dyDescent="0.25">
      <c r="A53" s="207"/>
      <c r="B53" s="207"/>
      <c r="C53" s="208"/>
      <c r="D53" s="207"/>
      <c r="E53" s="207"/>
      <c r="F53" s="207"/>
      <c r="G53" s="207"/>
      <c r="H53" s="207"/>
      <c r="I53" s="207"/>
      <c r="J53" s="207"/>
      <c r="K53" s="207"/>
    </row>
    <row r="54" spans="1:11" x14ac:dyDescent="0.25">
      <c r="A54" s="207"/>
      <c r="B54" s="207"/>
      <c r="C54" s="208"/>
      <c r="D54" s="207"/>
      <c r="E54" s="207"/>
      <c r="F54" s="207"/>
      <c r="G54" s="207"/>
      <c r="H54" s="207"/>
      <c r="I54" s="207"/>
      <c r="J54" s="207"/>
      <c r="K54" s="207"/>
    </row>
    <row r="55" spans="1:11" x14ac:dyDescent="0.25">
      <c r="A55" s="207"/>
      <c r="B55" s="207"/>
      <c r="C55" s="208"/>
      <c r="D55" s="207"/>
      <c r="E55" s="207"/>
      <c r="F55" s="207"/>
      <c r="G55" s="207"/>
      <c r="H55" s="207"/>
      <c r="I55" s="207"/>
      <c r="J55" s="207"/>
      <c r="K55" s="207"/>
    </row>
    <row r="56" spans="1:11" x14ac:dyDescent="0.25">
      <c r="A56" s="207"/>
      <c r="B56" s="207"/>
      <c r="C56" s="208"/>
      <c r="D56" s="207"/>
      <c r="E56" s="207"/>
      <c r="F56" s="207"/>
      <c r="G56" s="207"/>
      <c r="H56" s="207"/>
      <c r="I56" s="207"/>
      <c r="J56" s="207"/>
      <c r="K56" s="207"/>
    </row>
    <row r="57" spans="1:11" x14ac:dyDescent="0.25">
      <c r="A57" s="207"/>
      <c r="B57" s="207"/>
      <c r="C57" s="208"/>
      <c r="D57" s="207"/>
      <c r="E57" s="207"/>
      <c r="F57" s="207"/>
      <c r="G57" s="207"/>
      <c r="H57" s="207"/>
      <c r="I57" s="207"/>
      <c r="J57" s="207"/>
      <c r="K57" s="207"/>
    </row>
    <row r="58" spans="1:11" x14ac:dyDescent="0.25">
      <c r="A58" s="207"/>
      <c r="B58" s="207"/>
      <c r="C58" s="208"/>
      <c r="D58" s="207"/>
      <c r="E58" s="207"/>
      <c r="F58" s="207"/>
      <c r="G58" s="207"/>
      <c r="H58" s="207"/>
      <c r="I58" s="207"/>
      <c r="J58" s="207"/>
      <c r="K58" s="207"/>
    </row>
    <row r="59" spans="1:11" x14ac:dyDescent="0.25">
      <c r="A59" s="207"/>
      <c r="B59" s="207"/>
      <c r="C59" s="208"/>
      <c r="D59" s="207"/>
      <c r="E59" s="207"/>
      <c r="F59" s="207"/>
      <c r="G59" s="207"/>
      <c r="H59" s="207"/>
      <c r="I59" s="207"/>
      <c r="J59" s="207"/>
      <c r="K59" s="207"/>
    </row>
    <row r="60" spans="1:11" x14ac:dyDescent="0.25">
      <c r="A60" s="207"/>
      <c r="B60" s="207"/>
      <c r="C60" s="208"/>
      <c r="D60" s="207"/>
      <c r="E60" s="207"/>
      <c r="F60" s="207"/>
      <c r="G60" s="207"/>
      <c r="H60" s="207"/>
      <c r="I60" s="207"/>
      <c r="J60" s="207"/>
      <c r="K60" s="207"/>
    </row>
    <row r="61" spans="1:11" x14ac:dyDescent="0.25">
      <c r="A61" s="207"/>
      <c r="B61" s="207"/>
      <c r="C61" s="208"/>
      <c r="D61" s="207"/>
      <c r="E61" s="207"/>
      <c r="F61" s="207"/>
      <c r="G61" s="207"/>
      <c r="H61" s="207"/>
      <c r="I61" s="207"/>
      <c r="J61" s="207"/>
      <c r="K61" s="207"/>
    </row>
    <row r="62" spans="1:11" x14ac:dyDescent="0.25">
      <c r="A62" s="207"/>
      <c r="B62" s="207"/>
      <c r="C62" s="208"/>
      <c r="D62" s="207"/>
      <c r="E62" s="207"/>
      <c r="F62" s="207"/>
      <c r="G62" s="207"/>
      <c r="H62" s="207"/>
      <c r="I62" s="207"/>
      <c r="J62" s="207"/>
      <c r="K62" s="207"/>
    </row>
    <row r="63" spans="1:11" x14ac:dyDescent="0.25">
      <c r="A63" s="207"/>
      <c r="B63" s="207"/>
      <c r="C63" s="208"/>
      <c r="D63" s="207"/>
      <c r="E63" s="207"/>
      <c r="F63" s="207"/>
      <c r="G63" s="207"/>
      <c r="H63" s="207"/>
      <c r="I63" s="207"/>
      <c r="J63" s="207"/>
      <c r="K63" s="207"/>
    </row>
    <row r="64" spans="1:11" x14ac:dyDescent="0.25">
      <c r="A64" s="207"/>
      <c r="B64" s="207"/>
      <c r="C64" s="208"/>
      <c r="D64" s="207"/>
      <c r="E64" s="207"/>
      <c r="F64" s="207"/>
      <c r="G64" s="207"/>
      <c r="H64" s="207"/>
      <c r="I64" s="207"/>
      <c r="J64" s="207"/>
      <c r="K64" s="207"/>
    </row>
    <row r="65" spans="1:11" x14ac:dyDescent="0.25">
      <c r="A65" s="207"/>
      <c r="B65" s="207"/>
      <c r="C65" s="208"/>
      <c r="D65" s="207"/>
      <c r="E65" s="207"/>
      <c r="F65" s="207"/>
      <c r="G65" s="207"/>
      <c r="H65" s="207"/>
      <c r="I65" s="207"/>
      <c r="J65" s="207"/>
      <c r="K65" s="207"/>
    </row>
    <row r="66" spans="1:11" x14ac:dyDescent="0.25">
      <c r="A66" s="207"/>
      <c r="B66" s="207"/>
      <c r="C66" s="208"/>
      <c r="D66" s="207"/>
      <c r="E66" s="207"/>
      <c r="F66" s="207"/>
      <c r="G66" s="207"/>
      <c r="H66" s="207"/>
      <c r="I66" s="207"/>
      <c r="J66" s="207"/>
      <c r="K66" s="207"/>
    </row>
    <row r="67" spans="1:11" x14ac:dyDescent="0.25">
      <c r="A67" s="207"/>
      <c r="B67" s="207"/>
      <c r="C67" s="208"/>
      <c r="D67" s="207"/>
      <c r="E67" s="207"/>
      <c r="F67" s="207"/>
      <c r="G67" s="207"/>
      <c r="H67" s="207"/>
      <c r="I67" s="207"/>
      <c r="J67" s="207"/>
      <c r="K67" s="207"/>
    </row>
    <row r="68" spans="1:11" x14ac:dyDescent="0.25">
      <c r="A68" s="207"/>
      <c r="B68" s="207"/>
      <c r="C68" s="208"/>
      <c r="D68" s="207"/>
      <c r="E68" s="207"/>
      <c r="F68" s="207"/>
      <c r="G68" s="207"/>
      <c r="H68" s="207"/>
      <c r="I68" s="207"/>
      <c r="J68" s="207"/>
      <c r="K68" s="207"/>
    </row>
    <row r="69" spans="1:11" x14ac:dyDescent="0.25">
      <c r="A69" s="207"/>
      <c r="B69" s="207"/>
      <c r="C69" s="208"/>
      <c r="D69" s="207"/>
      <c r="E69" s="207"/>
      <c r="F69" s="207"/>
      <c r="G69" s="207"/>
      <c r="H69" s="207"/>
      <c r="I69" s="207"/>
      <c r="J69" s="207"/>
      <c r="K69" s="207"/>
    </row>
    <row r="70" spans="1:11" x14ac:dyDescent="0.25">
      <c r="A70" s="207"/>
      <c r="B70" s="207"/>
      <c r="C70" s="208"/>
      <c r="D70" s="207"/>
      <c r="E70" s="207"/>
      <c r="F70" s="207"/>
      <c r="G70" s="207"/>
      <c r="H70" s="207"/>
      <c r="I70" s="207"/>
      <c r="J70" s="207"/>
      <c r="K70" s="207"/>
    </row>
    <row r="71" spans="1:11" x14ac:dyDescent="0.25">
      <c r="A71" s="207"/>
      <c r="B71" s="207"/>
      <c r="C71" s="208"/>
      <c r="D71" s="207"/>
      <c r="E71" s="207"/>
      <c r="F71" s="207"/>
      <c r="G71" s="207"/>
      <c r="H71" s="207"/>
      <c r="I71" s="207"/>
      <c r="J71" s="207"/>
      <c r="K71" s="207"/>
    </row>
    <row r="72" spans="1:11" x14ac:dyDescent="0.25">
      <c r="A72" s="207"/>
      <c r="B72" s="207"/>
      <c r="C72" s="208"/>
      <c r="D72" s="207"/>
      <c r="E72" s="207"/>
      <c r="F72" s="207"/>
      <c r="G72" s="207"/>
      <c r="H72" s="207"/>
      <c r="I72" s="207"/>
      <c r="J72" s="207"/>
      <c r="K72" s="207"/>
    </row>
    <row r="73" spans="1:11" x14ac:dyDescent="0.25">
      <c r="A73" s="207"/>
      <c r="B73" s="207"/>
      <c r="C73" s="208"/>
      <c r="D73" s="207"/>
      <c r="E73" s="207"/>
      <c r="F73" s="207"/>
      <c r="G73" s="207"/>
      <c r="H73" s="207"/>
      <c r="I73" s="207"/>
      <c r="J73" s="207"/>
      <c r="K73" s="207"/>
    </row>
    <row r="74" spans="1:11" x14ac:dyDescent="0.25">
      <c r="A74" s="207"/>
      <c r="B74" s="207"/>
      <c r="C74" s="208"/>
      <c r="D74" s="207"/>
      <c r="E74" s="207"/>
      <c r="F74" s="207"/>
      <c r="G74" s="207"/>
      <c r="H74" s="207"/>
      <c r="I74" s="207"/>
      <c r="J74" s="207"/>
      <c r="K74" s="207"/>
    </row>
    <row r="75" spans="1:11" x14ac:dyDescent="0.25">
      <c r="A75" s="207"/>
      <c r="B75" s="207"/>
      <c r="C75" s="208"/>
      <c r="D75" s="207"/>
      <c r="E75" s="207"/>
      <c r="F75" s="207"/>
      <c r="G75" s="207"/>
      <c r="H75" s="207"/>
      <c r="I75" s="207"/>
      <c r="J75" s="207"/>
      <c r="K75" s="207"/>
    </row>
    <row r="76" spans="1:11" x14ac:dyDescent="0.25">
      <c r="A76" s="207"/>
      <c r="B76" s="207"/>
      <c r="C76" s="208"/>
      <c r="D76" s="207"/>
      <c r="E76" s="207"/>
      <c r="F76" s="207"/>
      <c r="G76" s="207"/>
      <c r="H76" s="207"/>
      <c r="I76" s="207"/>
      <c r="J76" s="207"/>
      <c r="K76" s="207"/>
    </row>
    <row r="77" spans="1:11" x14ac:dyDescent="0.25">
      <c r="A77" s="207"/>
      <c r="B77" s="207"/>
      <c r="C77" s="208"/>
      <c r="D77" s="207"/>
      <c r="E77" s="207"/>
      <c r="F77" s="207"/>
      <c r="G77" s="207"/>
      <c r="H77" s="207"/>
      <c r="I77" s="207"/>
      <c r="J77" s="207"/>
      <c r="K77" s="207"/>
    </row>
    <row r="78" spans="1:11" x14ac:dyDescent="0.25">
      <c r="A78" s="207"/>
      <c r="B78" s="207"/>
      <c r="C78" s="208"/>
      <c r="D78" s="207"/>
      <c r="E78" s="207"/>
      <c r="F78" s="207"/>
      <c r="G78" s="207"/>
      <c r="H78" s="207"/>
      <c r="I78" s="207"/>
      <c r="J78" s="207"/>
      <c r="K78" s="207"/>
    </row>
    <row r="79" spans="1:11" x14ac:dyDescent="0.25">
      <c r="A79" s="207"/>
      <c r="B79" s="207"/>
      <c r="C79" s="208"/>
      <c r="D79" s="207"/>
      <c r="E79" s="207"/>
      <c r="F79" s="207"/>
      <c r="G79" s="207"/>
      <c r="H79" s="207"/>
      <c r="I79" s="207"/>
      <c r="J79" s="207"/>
      <c r="K79" s="207"/>
    </row>
    <row r="80" spans="1:11" x14ac:dyDescent="0.25">
      <c r="A80" s="207"/>
      <c r="B80" s="207"/>
      <c r="C80" s="208"/>
      <c r="D80" s="207"/>
      <c r="E80" s="207"/>
      <c r="F80" s="207"/>
      <c r="G80" s="207"/>
      <c r="H80" s="207"/>
      <c r="I80" s="207"/>
      <c r="J80" s="207"/>
      <c r="K80" s="207"/>
    </row>
    <row r="81" spans="1:11" x14ac:dyDescent="0.25">
      <c r="A81" s="207"/>
      <c r="B81" s="207"/>
      <c r="C81" s="208"/>
      <c r="D81" s="207"/>
      <c r="E81" s="207"/>
      <c r="F81" s="207"/>
      <c r="G81" s="207"/>
      <c r="H81" s="207"/>
      <c r="I81" s="207"/>
      <c r="J81" s="207"/>
      <c r="K81" s="207"/>
    </row>
    <row r="82" spans="1:11" x14ac:dyDescent="0.25">
      <c r="A82" s="207"/>
      <c r="B82" s="207"/>
      <c r="C82" s="208"/>
      <c r="D82" s="207"/>
      <c r="E82" s="207"/>
      <c r="F82" s="207"/>
      <c r="G82" s="207"/>
      <c r="H82" s="207"/>
      <c r="I82" s="207"/>
      <c r="J82" s="207"/>
      <c r="K82" s="207"/>
    </row>
    <row r="83" spans="1:11" x14ac:dyDescent="0.25">
      <c r="A83" s="207"/>
      <c r="B83" s="207"/>
      <c r="C83" s="208"/>
      <c r="D83" s="207"/>
      <c r="E83" s="207"/>
      <c r="F83" s="207"/>
      <c r="G83" s="207"/>
      <c r="H83" s="207"/>
      <c r="I83" s="207"/>
      <c r="J83" s="207"/>
      <c r="K83" s="207"/>
    </row>
    <row r="84" spans="1:11" x14ac:dyDescent="0.25">
      <c r="A84" s="207"/>
      <c r="B84" s="207"/>
      <c r="C84" s="208"/>
      <c r="D84" s="207"/>
      <c r="E84" s="207"/>
      <c r="F84" s="207"/>
      <c r="G84" s="207"/>
      <c r="H84" s="207"/>
      <c r="I84" s="207"/>
      <c r="J84" s="207"/>
      <c r="K84" s="207"/>
    </row>
    <row r="85" spans="1:11" x14ac:dyDescent="0.25">
      <c r="A85" s="207"/>
      <c r="B85" s="207"/>
      <c r="C85" s="208"/>
      <c r="D85" s="207"/>
      <c r="E85" s="207"/>
      <c r="F85" s="207"/>
      <c r="G85" s="207"/>
      <c r="H85" s="207"/>
      <c r="I85" s="207"/>
      <c r="J85" s="207"/>
      <c r="K85" s="207"/>
    </row>
    <row r="86" spans="1:11" x14ac:dyDescent="0.25">
      <c r="A86" s="207"/>
      <c r="B86" s="207"/>
      <c r="C86" s="208"/>
      <c r="D86" s="207"/>
      <c r="E86" s="207"/>
      <c r="F86" s="207"/>
      <c r="G86" s="207"/>
      <c r="H86" s="207"/>
      <c r="I86" s="207"/>
      <c r="J86" s="207"/>
      <c r="K86" s="207"/>
    </row>
    <row r="87" spans="1:11" x14ac:dyDescent="0.25">
      <c r="A87" s="207"/>
      <c r="B87" s="207"/>
      <c r="C87" s="208"/>
      <c r="D87" s="207"/>
      <c r="E87" s="207"/>
      <c r="F87" s="207"/>
      <c r="G87" s="207"/>
      <c r="H87" s="207"/>
      <c r="I87" s="207"/>
      <c r="J87" s="207"/>
      <c r="K87" s="207"/>
    </row>
    <row r="88" spans="1:11" x14ac:dyDescent="0.25">
      <c r="A88" s="207"/>
      <c r="B88" s="207"/>
      <c r="C88" s="208"/>
      <c r="D88" s="207"/>
      <c r="E88" s="207"/>
      <c r="F88" s="207"/>
      <c r="G88" s="207"/>
      <c r="H88" s="207"/>
      <c r="I88" s="207"/>
      <c r="J88" s="207"/>
      <c r="K88" s="207"/>
    </row>
    <row r="89" spans="1:11" x14ac:dyDescent="0.25">
      <c r="A89" s="207"/>
      <c r="B89" s="207"/>
      <c r="C89" s="208"/>
      <c r="D89" s="207"/>
      <c r="E89" s="207"/>
      <c r="F89" s="207"/>
      <c r="G89" s="207"/>
      <c r="H89" s="207"/>
      <c r="I89" s="207"/>
      <c r="J89" s="207"/>
      <c r="K89" s="207"/>
    </row>
    <row r="90" spans="1:11" x14ac:dyDescent="0.25">
      <c r="A90" s="207"/>
      <c r="B90" s="207"/>
      <c r="C90" s="208"/>
      <c r="D90" s="207"/>
      <c r="E90" s="207"/>
      <c r="F90" s="207"/>
      <c r="G90" s="207"/>
      <c r="H90" s="207"/>
      <c r="I90" s="207"/>
      <c r="J90" s="207"/>
      <c r="K90" s="207"/>
    </row>
    <row r="91" spans="1:11" x14ac:dyDescent="0.25">
      <c r="A91" s="207"/>
      <c r="B91" s="207"/>
      <c r="C91" s="208"/>
      <c r="D91" s="207"/>
      <c r="E91" s="207"/>
      <c r="F91" s="207"/>
      <c r="G91" s="207"/>
      <c r="H91" s="207"/>
      <c r="I91" s="207"/>
      <c r="J91" s="207"/>
      <c r="K91" s="207"/>
    </row>
    <row r="92" spans="1:11" x14ac:dyDescent="0.25">
      <c r="A92" s="207"/>
      <c r="B92" s="207"/>
      <c r="C92" s="208"/>
      <c r="D92" s="207"/>
      <c r="E92" s="207"/>
      <c r="F92" s="207"/>
      <c r="G92" s="207"/>
      <c r="H92" s="207"/>
      <c r="I92" s="207"/>
      <c r="J92" s="207"/>
      <c r="K92" s="207"/>
    </row>
    <row r="93" spans="1:11" x14ac:dyDescent="0.25">
      <c r="A93" s="207"/>
      <c r="B93" s="207"/>
      <c r="C93" s="208"/>
      <c r="D93" s="207"/>
      <c r="E93" s="207"/>
      <c r="F93" s="207"/>
      <c r="G93" s="207"/>
      <c r="H93" s="207"/>
      <c r="I93" s="207"/>
      <c r="J93" s="207"/>
      <c r="K93" s="207"/>
    </row>
    <row r="94" spans="1:11" x14ac:dyDescent="0.25">
      <c r="A94" s="207"/>
      <c r="B94" s="207"/>
      <c r="C94" s="208"/>
      <c r="D94" s="207"/>
      <c r="E94" s="207"/>
      <c r="F94" s="207"/>
      <c r="G94" s="207"/>
      <c r="H94" s="207"/>
      <c r="I94" s="207"/>
      <c r="J94" s="207"/>
      <c r="K94" s="207"/>
    </row>
    <row r="95" spans="1:11" x14ac:dyDescent="0.25">
      <c r="A95" s="207"/>
      <c r="B95" s="207"/>
      <c r="C95" s="208"/>
      <c r="D95" s="207"/>
      <c r="E95" s="207"/>
      <c r="F95" s="207"/>
      <c r="G95" s="207"/>
      <c r="H95" s="207"/>
      <c r="I95" s="207"/>
      <c r="J95" s="207"/>
      <c r="K95" s="207"/>
    </row>
    <row r="96" spans="1:11" x14ac:dyDescent="0.25">
      <c r="A96" s="207"/>
      <c r="B96" s="207"/>
      <c r="C96" s="208"/>
      <c r="D96" s="207"/>
      <c r="E96" s="207"/>
      <c r="F96" s="207"/>
      <c r="G96" s="207"/>
      <c r="H96" s="207"/>
      <c r="I96" s="207"/>
      <c r="J96" s="207"/>
      <c r="K96" s="207"/>
    </row>
    <row r="97" spans="3:3" x14ac:dyDescent="0.25">
      <c r="C97" s="154"/>
    </row>
    <row r="98" spans="3:3" x14ac:dyDescent="0.25">
      <c r="C98" s="154"/>
    </row>
    <row r="99" spans="3:3" x14ac:dyDescent="0.25">
      <c r="C99" s="154"/>
    </row>
    <row r="100" spans="3:3" x14ac:dyDescent="0.25">
      <c r="C100" s="154"/>
    </row>
    <row r="101" spans="3:3" x14ac:dyDescent="0.25">
      <c r="C101" s="154"/>
    </row>
    <row r="102" spans="3:3" x14ac:dyDescent="0.25">
      <c r="C102" s="154"/>
    </row>
    <row r="103" spans="3:3" x14ac:dyDescent="0.25">
      <c r="C103" s="154"/>
    </row>
    <row r="104" spans="3:3" x14ac:dyDescent="0.25">
      <c r="C104" s="154"/>
    </row>
    <row r="105" spans="3:3" x14ac:dyDescent="0.25">
      <c r="C105" s="154"/>
    </row>
    <row r="106" spans="3:3" x14ac:dyDescent="0.25">
      <c r="C106" s="154"/>
    </row>
    <row r="107" spans="3:3" x14ac:dyDescent="0.25">
      <c r="C107" s="154"/>
    </row>
    <row r="108" spans="3:3" x14ac:dyDescent="0.25">
      <c r="C108" s="154"/>
    </row>
    <row r="109" spans="3:3" x14ac:dyDescent="0.25">
      <c r="C109" s="154"/>
    </row>
    <row r="110" spans="3:3" x14ac:dyDescent="0.25">
      <c r="C110" s="154"/>
    </row>
    <row r="111" spans="3:3" x14ac:dyDescent="0.25">
      <c r="C111" s="154"/>
    </row>
    <row r="112" spans="3:3" x14ac:dyDescent="0.25">
      <c r="C112" s="154"/>
    </row>
    <row r="113" spans="3:3" x14ac:dyDescent="0.25">
      <c r="C113" s="154"/>
    </row>
    <row r="114" spans="3:3" x14ac:dyDescent="0.25">
      <c r="C114" s="154"/>
    </row>
    <row r="115" spans="3:3" x14ac:dyDescent="0.25">
      <c r="C115" s="154"/>
    </row>
    <row r="116" spans="3:3" x14ac:dyDescent="0.25">
      <c r="C116" s="154"/>
    </row>
    <row r="117" spans="3:3" x14ac:dyDescent="0.25">
      <c r="C117" s="154"/>
    </row>
    <row r="118" spans="3:3" x14ac:dyDescent="0.25">
      <c r="C118" s="154"/>
    </row>
    <row r="119" spans="3:3" x14ac:dyDescent="0.25">
      <c r="C119" s="154"/>
    </row>
    <row r="120" spans="3:3" x14ac:dyDescent="0.25">
      <c r="C120" s="154"/>
    </row>
    <row r="121" spans="3:3" x14ac:dyDescent="0.25">
      <c r="C121" s="154"/>
    </row>
    <row r="122" spans="3:3" x14ac:dyDescent="0.25">
      <c r="C122" s="154"/>
    </row>
    <row r="123" spans="3:3" x14ac:dyDescent="0.25">
      <c r="C123" s="154"/>
    </row>
    <row r="124" spans="3:3" x14ac:dyDescent="0.25">
      <c r="C124" s="154"/>
    </row>
    <row r="125" spans="3:3" x14ac:dyDescent="0.25">
      <c r="C125" s="154"/>
    </row>
    <row r="126" spans="3:3" x14ac:dyDescent="0.25">
      <c r="C126" s="154"/>
    </row>
    <row r="127" spans="3:3" x14ac:dyDescent="0.25">
      <c r="C127" s="154"/>
    </row>
    <row r="128" spans="3:3" x14ac:dyDescent="0.25">
      <c r="C128" s="154"/>
    </row>
    <row r="129" spans="3:3" x14ac:dyDescent="0.25">
      <c r="C129" s="154"/>
    </row>
    <row r="130" spans="3:3" x14ac:dyDescent="0.25">
      <c r="C130" s="154"/>
    </row>
    <row r="131" spans="3:3" x14ac:dyDescent="0.25">
      <c r="C131" s="154"/>
    </row>
    <row r="132" spans="3:3" x14ac:dyDescent="0.25">
      <c r="C132" s="154"/>
    </row>
    <row r="133" spans="3:3" x14ac:dyDescent="0.25">
      <c r="C133" s="154"/>
    </row>
    <row r="134" spans="3:3" x14ac:dyDescent="0.25">
      <c r="C134" s="154"/>
    </row>
    <row r="135" spans="3:3" x14ac:dyDescent="0.25">
      <c r="C135" s="154"/>
    </row>
    <row r="136" spans="3:3" x14ac:dyDescent="0.25">
      <c r="C136" s="154"/>
    </row>
    <row r="137" spans="3:3" x14ac:dyDescent="0.25">
      <c r="C137" s="154"/>
    </row>
    <row r="138" spans="3:3" x14ac:dyDescent="0.25">
      <c r="C138" s="154"/>
    </row>
    <row r="139" spans="3:3" x14ac:dyDescent="0.25">
      <c r="C139" s="154"/>
    </row>
    <row r="140" spans="3:3" x14ac:dyDescent="0.25">
      <c r="C140" s="154"/>
    </row>
    <row r="141" spans="3:3" x14ac:dyDescent="0.25">
      <c r="C141" s="154"/>
    </row>
    <row r="142" spans="3:3" x14ac:dyDescent="0.25">
      <c r="C142" s="154"/>
    </row>
    <row r="143" spans="3:3" x14ac:dyDescent="0.25">
      <c r="C143" s="154"/>
    </row>
    <row r="144" spans="3:3" x14ac:dyDescent="0.25">
      <c r="C144" s="154"/>
    </row>
    <row r="145" spans="3:3" x14ac:dyDescent="0.25">
      <c r="C145" s="154"/>
    </row>
    <row r="146" spans="3:3" x14ac:dyDescent="0.25">
      <c r="C146" s="154"/>
    </row>
    <row r="147" spans="3:3" x14ac:dyDescent="0.25">
      <c r="C147" s="154"/>
    </row>
    <row r="148" spans="3:3" x14ac:dyDescent="0.25">
      <c r="C148" s="154"/>
    </row>
    <row r="149" spans="3:3" x14ac:dyDescent="0.25">
      <c r="C149" s="154"/>
    </row>
    <row r="150" spans="3:3" x14ac:dyDescent="0.25">
      <c r="C150" s="154"/>
    </row>
    <row r="151" spans="3:3" x14ac:dyDescent="0.25">
      <c r="C151" s="154"/>
    </row>
    <row r="152" spans="3:3" x14ac:dyDescent="0.25">
      <c r="C152" s="154"/>
    </row>
    <row r="153" spans="3:3" x14ac:dyDescent="0.25">
      <c r="C153" s="154"/>
    </row>
    <row r="154" spans="3:3" x14ac:dyDescent="0.25">
      <c r="C154" s="154"/>
    </row>
    <row r="155" spans="3:3" x14ac:dyDescent="0.25">
      <c r="C155" s="154"/>
    </row>
    <row r="156" spans="3:3" x14ac:dyDescent="0.25">
      <c r="C156" s="154"/>
    </row>
    <row r="157" spans="3:3" x14ac:dyDescent="0.25">
      <c r="C157" s="154"/>
    </row>
    <row r="158" spans="3:3" x14ac:dyDescent="0.25">
      <c r="C158" s="154"/>
    </row>
    <row r="159" spans="3:3" x14ac:dyDescent="0.25">
      <c r="C159" s="154"/>
    </row>
    <row r="160" spans="3:3" x14ac:dyDescent="0.25">
      <c r="C160" s="154"/>
    </row>
    <row r="161" spans="3:3" x14ac:dyDescent="0.25">
      <c r="C161" s="154"/>
    </row>
    <row r="162" spans="3:3" x14ac:dyDescent="0.25">
      <c r="C162" s="154"/>
    </row>
    <row r="163" spans="3:3" x14ac:dyDescent="0.25">
      <c r="C163" s="154"/>
    </row>
    <row r="164" spans="3:3" x14ac:dyDescent="0.25">
      <c r="C164" s="154"/>
    </row>
    <row r="165" spans="3:3" x14ac:dyDescent="0.25">
      <c r="C165" s="154"/>
    </row>
    <row r="166" spans="3:3" x14ac:dyDescent="0.25">
      <c r="C166" s="154"/>
    </row>
    <row r="167" spans="3:3" x14ac:dyDescent="0.25">
      <c r="C167" s="154"/>
    </row>
    <row r="168" spans="3:3" x14ac:dyDescent="0.25">
      <c r="C168" s="154"/>
    </row>
    <row r="169" spans="3:3" x14ac:dyDescent="0.25">
      <c r="C169" s="154"/>
    </row>
    <row r="170" spans="3:3" x14ac:dyDescent="0.25">
      <c r="C170" s="154"/>
    </row>
    <row r="171" spans="3:3" x14ac:dyDescent="0.25">
      <c r="C171" s="154"/>
    </row>
    <row r="172" spans="3:3" x14ac:dyDescent="0.25">
      <c r="C172" s="154"/>
    </row>
    <row r="173" spans="3:3" x14ac:dyDescent="0.25">
      <c r="C173" s="154"/>
    </row>
    <row r="174" spans="3:3" x14ac:dyDescent="0.25">
      <c r="C174" s="154"/>
    </row>
  </sheetData>
  <mergeCells count="12">
    <mergeCell ref="A35:F35"/>
    <mergeCell ref="A30:B30"/>
    <mergeCell ref="A31:B31"/>
    <mergeCell ref="A18:B18"/>
    <mergeCell ref="A21:H21"/>
    <mergeCell ref="A23:B23"/>
    <mergeCell ref="A17:B17"/>
    <mergeCell ref="A12:B12"/>
    <mergeCell ref="A13:B13"/>
    <mergeCell ref="A14:B14"/>
    <mergeCell ref="A15:B15"/>
    <mergeCell ref="A16:B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5"/>
  <sheetViews>
    <sheetView workbookViewId="0">
      <selection activeCell="J23" sqref="J23:J35"/>
    </sheetView>
  </sheetViews>
  <sheetFormatPr defaultColWidth="11.42578125" defaultRowHeight="15" x14ac:dyDescent="0.25"/>
  <cols>
    <col min="1" max="1" width="34.140625" style="154" customWidth="1"/>
    <col min="2" max="3" width="12.7109375" style="154" customWidth="1"/>
    <col min="4" max="4" width="12.7109375" style="133" customWidth="1"/>
    <col min="5" max="6" width="12.7109375" style="154" customWidth="1"/>
    <col min="7" max="7" width="14.7109375" style="154" customWidth="1"/>
    <col min="8" max="256" width="9.140625" style="154" customWidth="1"/>
    <col min="257" max="16384" width="11.42578125" style="154"/>
  </cols>
  <sheetData>
    <row r="1" spans="1:8" x14ac:dyDescent="0.25">
      <c r="A1" s="133"/>
    </row>
    <row r="2" spans="1:8" s="212" customFormat="1" ht="6" customHeight="1" x14ac:dyDescent="0.2"/>
    <row r="3" spans="1:8" ht="18" x14ac:dyDescent="0.25">
      <c r="A3" s="136" t="s">
        <v>498</v>
      </c>
      <c r="G3" s="133"/>
    </row>
    <row r="4" spans="1:8" x14ac:dyDescent="0.25">
      <c r="D4" s="251"/>
      <c r="E4" s="251"/>
    </row>
    <row r="5" spans="1:8" x14ac:dyDescent="0.25">
      <c r="A5" s="278" t="s">
        <v>499</v>
      </c>
      <c r="B5" s="278"/>
      <c r="C5" s="278"/>
      <c r="D5" s="302"/>
      <c r="E5" s="251"/>
    </row>
    <row r="6" spans="1:8" x14ac:dyDescent="0.25">
      <c r="A6" s="264"/>
      <c r="B6" s="274"/>
      <c r="C6" s="275">
        <v>44196</v>
      </c>
      <c r="D6" s="303"/>
      <c r="E6" s="251"/>
    </row>
    <row r="7" spans="1:8" x14ac:dyDescent="0.25">
      <c r="A7" s="209" t="s">
        <v>500</v>
      </c>
      <c r="B7" s="235"/>
      <c r="C7" s="305">
        <f>'5'!F38</f>
        <v>0.55265754483761076</v>
      </c>
      <c r="D7" s="307"/>
      <c r="E7" s="251"/>
    </row>
    <row r="8" spans="1:8" x14ac:dyDescent="0.25">
      <c r="A8" s="210" t="s">
        <v>472</v>
      </c>
      <c r="B8" s="236"/>
      <c r="C8" s="306">
        <f>'5'!F37</f>
        <v>0.4473424551623893</v>
      </c>
      <c r="D8" s="307"/>
      <c r="E8" s="251"/>
    </row>
    <row r="9" spans="1:8" x14ac:dyDescent="0.25">
      <c r="A9" s="207"/>
      <c r="B9" s="207"/>
      <c r="C9" s="207"/>
      <c r="D9" s="304"/>
      <c r="E9" s="251"/>
    </row>
    <row r="10" spans="1:8" x14ac:dyDescent="0.25">
      <c r="A10" s="207"/>
      <c r="B10" s="207"/>
      <c r="C10" s="207"/>
      <c r="D10" s="304"/>
      <c r="E10" s="251"/>
    </row>
    <row r="11" spans="1:8" x14ac:dyDescent="0.25">
      <c r="A11" s="278" t="s">
        <v>501</v>
      </c>
      <c r="B11" s="278"/>
      <c r="C11" s="278"/>
      <c r="D11" s="302"/>
      <c r="E11" s="251"/>
    </row>
    <row r="12" spans="1:8" x14ac:dyDescent="0.25">
      <c r="A12" s="264"/>
      <c r="B12" s="274"/>
      <c r="C12" s="275">
        <v>44196</v>
      </c>
      <c r="D12" s="303"/>
      <c r="E12" s="251"/>
    </row>
    <row r="13" spans="1:8" x14ac:dyDescent="0.25">
      <c r="A13" s="209" t="s">
        <v>502</v>
      </c>
      <c r="B13" s="236"/>
      <c r="C13" s="306">
        <f>'5'!C16/'5'!C17</f>
        <v>0</v>
      </c>
      <c r="D13" s="307"/>
      <c r="E13" s="251"/>
    </row>
    <row r="14" spans="1:8" x14ac:dyDescent="0.25">
      <c r="A14" s="209" t="s">
        <v>536</v>
      </c>
      <c r="B14" s="243"/>
      <c r="C14" s="306">
        <f>100%-C13</f>
        <v>1</v>
      </c>
      <c r="D14" s="307"/>
      <c r="E14" s="304"/>
      <c r="F14" s="207"/>
      <c r="G14" s="207"/>
      <c r="H14" s="207"/>
    </row>
    <row r="15" spans="1:8" x14ac:dyDescent="0.25">
      <c r="A15" s="207"/>
      <c r="B15" s="207"/>
      <c r="C15" s="237"/>
      <c r="D15" s="237"/>
      <c r="E15" s="237"/>
      <c r="F15" s="237"/>
      <c r="G15" s="237"/>
      <c r="H15" s="237"/>
    </row>
    <row r="16" spans="1:8" ht="15" customHeight="1" x14ac:dyDescent="0.25">
      <c r="A16" s="439" t="s">
        <v>693</v>
      </c>
      <c r="B16" s="439"/>
      <c r="C16" s="439"/>
      <c r="D16" s="439"/>
      <c r="E16" s="439"/>
      <c r="F16" s="439"/>
      <c r="G16" s="439"/>
      <c r="H16" s="439"/>
    </row>
    <row r="17" spans="1:8" ht="15" customHeight="1" x14ac:dyDescent="0.25">
      <c r="A17" s="264" t="s">
        <v>22</v>
      </c>
      <c r="B17" s="274"/>
      <c r="C17" s="277" t="s">
        <v>503</v>
      </c>
      <c r="D17" s="277" t="s">
        <v>504</v>
      </c>
      <c r="E17" s="277" t="s">
        <v>505</v>
      </c>
      <c r="F17" s="277" t="s">
        <v>506</v>
      </c>
      <c r="G17" s="277" t="s">
        <v>507</v>
      </c>
      <c r="H17" s="277" t="s">
        <v>30</v>
      </c>
    </row>
    <row r="18" spans="1:8" x14ac:dyDescent="0.25">
      <c r="A18" s="209" t="s">
        <v>502</v>
      </c>
      <c r="B18" s="235"/>
      <c r="C18" s="238">
        <v>0</v>
      </c>
      <c r="D18" s="238" t="s">
        <v>508</v>
      </c>
      <c r="E18" s="238" t="s">
        <v>508</v>
      </c>
      <c r="F18" s="238" t="s">
        <v>508</v>
      </c>
      <c r="G18" s="238">
        <f>65</f>
        <v>65</v>
      </c>
      <c r="H18" s="238">
        <f>G18</f>
        <v>65</v>
      </c>
    </row>
    <row r="19" spans="1:8" x14ac:dyDescent="0.25">
      <c r="A19" s="239" t="s">
        <v>509</v>
      </c>
      <c r="B19" s="240"/>
      <c r="C19" s="241">
        <f>SUM(C18:C18)</f>
        <v>0</v>
      </c>
      <c r="D19" s="241">
        <f>SUM(D18:D18)</f>
        <v>0</v>
      </c>
      <c r="E19" s="241">
        <f>SUM(E18:E18)</f>
        <v>0</v>
      </c>
      <c r="F19" s="241">
        <f>SUM(F18:F18)</f>
        <v>0</v>
      </c>
      <c r="G19" s="241">
        <f>G18</f>
        <v>65</v>
      </c>
      <c r="H19" s="241">
        <f>G19</f>
        <v>65</v>
      </c>
    </row>
    <row r="20" spans="1:8" s="211" customFormat="1" x14ac:dyDescent="0.25">
      <c r="A20" s="207"/>
      <c r="B20" s="207"/>
      <c r="C20" s="207"/>
      <c r="D20" s="242"/>
      <c r="E20" s="237"/>
      <c r="F20" s="237"/>
      <c r="G20" s="237"/>
      <c r="H20" s="237"/>
    </row>
    <row r="21" spans="1:8" x14ac:dyDescent="0.25">
      <c r="A21" s="207"/>
      <c r="B21" s="207"/>
      <c r="C21" s="207"/>
      <c r="D21" s="208"/>
      <c r="E21" s="207"/>
      <c r="F21" s="207"/>
      <c r="G21" s="207"/>
      <c r="H21" s="207"/>
    </row>
    <row r="22" spans="1:8" x14ac:dyDescent="0.25">
      <c r="A22" s="278" t="s">
        <v>615</v>
      </c>
      <c r="B22" s="278"/>
      <c r="C22" s="278"/>
      <c r="D22" s="278"/>
      <c r="E22" s="278"/>
      <c r="F22" s="278"/>
      <c r="G22" s="278"/>
    </row>
    <row r="23" spans="1:8" ht="25.5" x14ac:dyDescent="0.25">
      <c r="A23" s="308" t="s">
        <v>614</v>
      </c>
      <c r="B23" s="309" t="s">
        <v>609</v>
      </c>
      <c r="C23" s="310" t="s">
        <v>610</v>
      </c>
      <c r="D23" s="310" t="s">
        <v>611</v>
      </c>
      <c r="E23" s="310" t="s">
        <v>612</v>
      </c>
      <c r="F23" s="309" t="s">
        <v>613</v>
      </c>
      <c r="G23" s="311" t="s">
        <v>30</v>
      </c>
    </row>
    <row r="24" spans="1:8" x14ac:dyDescent="0.25">
      <c r="A24" s="312" t="s">
        <v>579</v>
      </c>
      <c r="B24" s="313">
        <v>0</v>
      </c>
      <c r="C24" s="313">
        <v>0</v>
      </c>
      <c r="D24" s="313">
        <v>0</v>
      </c>
      <c r="E24" s="313">
        <v>0</v>
      </c>
      <c r="F24" s="314">
        <v>1204.1884715799983</v>
      </c>
      <c r="G24" s="315">
        <v>1204.1884715799983</v>
      </c>
    </row>
    <row r="25" spans="1:8" x14ac:dyDescent="0.25">
      <c r="A25" s="312" t="s">
        <v>580</v>
      </c>
      <c r="B25" s="424">
        <v>1.2199E-2</v>
      </c>
      <c r="C25" s="424">
        <v>164.53942155137167</v>
      </c>
      <c r="D25" s="424">
        <v>2839.2898277465679</v>
      </c>
      <c r="E25" s="313">
        <v>0</v>
      </c>
      <c r="F25" s="423">
        <v>5495.0786735842112</v>
      </c>
      <c r="G25" s="425">
        <f>SUM(B25:F25)</f>
        <v>8498.9201218821509</v>
      </c>
    </row>
    <row r="26" spans="1:8" x14ac:dyDescent="0.25">
      <c r="A26" s="316" t="s">
        <v>497</v>
      </c>
      <c r="B26" s="317">
        <v>26.119545116635003</v>
      </c>
      <c r="C26" s="313">
        <v>47.537213988956999</v>
      </c>
      <c r="D26" s="313">
        <v>218.97428380710699</v>
      </c>
      <c r="E26" s="313">
        <v>0</v>
      </c>
      <c r="F26" s="314">
        <v>1555.39372637</v>
      </c>
      <c r="G26" s="315">
        <v>1848.024769282699</v>
      </c>
    </row>
    <row r="27" spans="1:8" x14ac:dyDescent="0.25">
      <c r="A27" s="312" t="s">
        <v>616</v>
      </c>
      <c r="B27" s="314">
        <v>0</v>
      </c>
      <c r="C27" s="313">
        <v>0</v>
      </c>
      <c r="D27" s="313">
        <v>0</v>
      </c>
      <c r="E27" s="313">
        <v>0</v>
      </c>
      <c r="F27" s="314">
        <v>172.88136213000001</v>
      </c>
      <c r="G27" s="315">
        <v>172.88136213000001</v>
      </c>
    </row>
    <row r="28" spans="1:8" ht="15.75" thickBot="1" x14ac:dyDescent="0.3">
      <c r="A28" s="318" t="s">
        <v>686</v>
      </c>
      <c r="B28" s="319">
        <f t="shared" ref="B28:G28" si="0">SUM(B24:B27)</f>
        <v>26.131744116635002</v>
      </c>
      <c r="C28" s="319">
        <f t="shared" si="0"/>
        <v>212.07663554032868</v>
      </c>
      <c r="D28" s="319">
        <f t="shared" si="0"/>
        <v>3058.2641115536749</v>
      </c>
      <c r="E28" s="319">
        <f t="shared" si="0"/>
        <v>0</v>
      </c>
      <c r="F28" s="319">
        <f t="shared" si="0"/>
        <v>8427.5422336642077</v>
      </c>
      <c r="G28" s="319">
        <f t="shared" si="0"/>
        <v>11724.014724874849</v>
      </c>
    </row>
    <row r="29" spans="1:8" x14ac:dyDescent="0.25">
      <c r="A29" s="320"/>
      <c r="B29" s="320"/>
      <c r="C29" s="321"/>
      <c r="D29" s="321"/>
      <c r="E29" s="321"/>
      <c r="F29" s="321"/>
      <c r="G29" s="321"/>
    </row>
    <row r="30" spans="1:8" x14ac:dyDescent="0.25">
      <c r="A30" s="320"/>
      <c r="B30" s="320"/>
      <c r="C30" s="321"/>
      <c r="D30" s="321"/>
      <c r="E30" s="321"/>
      <c r="F30" s="321"/>
      <c r="G30" s="321"/>
    </row>
    <row r="31" spans="1:8" ht="25.5" x14ac:dyDescent="0.25">
      <c r="A31" s="322" t="s">
        <v>617</v>
      </c>
      <c r="B31" s="309" t="s">
        <v>609</v>
      </c>
      <c r="C31" s="310" t="s">
        <v>610</v>
      </c>
      <c r="D31" s="310" t="s">
        <v>611</v>
      </c>
      <c r="E31" s="310" t="s">
        <v>612</v>
      </c>
      <c r="F31" s="309" t="s">
        <v>613</v>
      </c>
      <c r="G31" s="311" t="s">
        <v>30</v>
      </c>
    </row>
    <row r="32" spans="1:8" x14ac:dyDescent="0.25">
      <c r="A32" s="312" t="s">
        <v>618</v>
      </c>
      <c r="B32" s="314">
        <v>12.613660674907239</v>
      </c>
      <c r="C32" s="313">
        <v>497.74381539399559</v>
      </c>
      <c r="D32" s="314">
        <v>110.56975080203293</v>
      </c>
      <c r="E32" s="313">
        <v>0</v>
      </c>
      <c r="F32" s="323">
        <v>8374.3822992877449</v>
      </c>
      <c r="G32" s="324">
        <v>8995.3095261586805</v>
      </c>
    </row>
    <row r="33" spans="1:7" x14ac:dyDescent="0.25">
      <c r="A33" s="312" t="s">
        <v>620</v>
      </c>
      <c r="B33" s="314">
        <v>0.52794246575342485</v>
      </c>
      <c r="C33" s="313">
        <v>2.6788191780821924</v>
      </c>
      <c r="D33" s="314">
        <v>84.651191780821918</v>
      </c>
      <c r="E33" s="313">
        <v>0</v>
      </c>
      <c r="F33" s="323">
        <v>0</v>
      </c>
      <c r="G33" s="324">
        <v>87.857953424657538</v>
      </c>
    </row>
    <row r="34" spans="1:7" x14ac:dyDescent="0.25">
      <c r="A34" s="312" t="s">
        <v>619</v>
      </c>
      <c r="B34" s="314">
        <v>17.706813</v>
      </c>
      <c r="C34" s="313">
        <v>207.68224240999999</v>
      </c>
      <c r="D34" s="314">
        <v>0</v>
      </c>
      <c r="E34" s="313">
        <v>0</v>
      </c>
      <c r="F34" s="323">
        <v>0.54209322999999998</v>
      </c>
      <c r="G34" s="324">
        <v>225.93114864</v>
      </c>
    </row>
    <row r="35" spans="1:7" ht="15.75" thickBot="1" x14ac:dyDescent="0.3">
      <c r="A35" s="318" t="s">
        <v>480</v>
      </c>
      <c r="B35" s="319">
        <f t="shared" ref="B35:G35" si="1">SUM(B32:B34)</f>
        <v>30.848416140660664</v>
      </c>
      <c r="C35" s="319">
        <f t="shared" si="1"/>
        <v>708.10487698207771</v>
      </c>
      <c r="D35" s="319">
        <f t="shared" si="1"/>
        <v>195.22094258285483</v>
      </c>
      <c r="E35" s="319">
        <f t="shared" si="1"/>
        <v>0</v>
      </c>
      <c r="F35" s="319">
        <f t="shared" si="1"/>
        <v>8374.9243925177452</v>
      </c>
      <c r="G35" s="319">
        <f t="shared" si="1"/>
        <v>9309.0986282233389</v>
      </c>
    </row>
  </sheetData>
  <mergeCells count="1">
    <mergeCell ref="A16:H1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election activeCell="L42" sqref="L42"/>
    </sheetView>
  </sheetViews>
  <sheetFormatPr defaultColWidth="11.42578125" defaultRowHeight="11.25" x14ac:dyDescent="0.2"/>
  <cols>
    <col min="1" max="1" width="2.7109375" style="23" customWidth="1"/>
    <col min="2" max="2" width="16.28515625" style="16" customWidth="1"/>
    <col min="3" max="3" width="18.42578125" style="16" customWidth="1"/>
    <col min="4" max="5" width="15" style="16" bestFit="1" customWidth="1"/>
    <col min="6" max="7" width="13.7109375" style="16" customWidth="1"/>
    <col min="8" max="8" width="19" style="16" bestFit="1" customWidth="1"/>
    <col min="9" max="9" width="11.42578125" style="16"/>
    <col min="10" max="10" width="14.140625" style="16" bestFit="1" customWidth="1"/>
    <col min="11" max="12" width="11.42578125" style="16"/>
    <col min="13" max="13" width="14.28515625" style="16" bestFit="1" customWidth="1"/>
    <col min="14" max="16384" width="11.42578125" style="16"/>
  </cols>
  <sheetData>
    <row r="1" spans="1:18" s="10" customFormat="1" ht="11.25" customHeight="1" x14ac:dyDescent="0.2">
      <c r="A1" s="7"/>
      <c r="B1" s="7"/>
      <c r="C1" s="7"/>
      <c r="D1" s="8"/>
      <c r="E1" s="8"/>
      <c r="F1" s="9"/>
      <c r="G1" s="9"/>
      <c r="H1" s="9"/>
    </row>
    <row r="2" spans="1:18" s="10" customFormat="1" ht="5.25" customHeight="1" x14ac:dyDescent="0.2">
      <c r="A2" s="7"/>
      <c r="B2" s="7"/>
      <c r="C2" s="7"/>
      <c r="D2" s="8"/>
      <c r="E2" s="8"/>
      <c r="F2" s="9"/>
      <c r="G2" s="9"/>
      <c r="H2" s="9"/>
    </row>
    <row r="3" spans="1:18" s="12" customFormat="1" ht="12.75" customHeight="1" x14ac:dyDescent="0.2">
      <c r="A3" s="11"/>
      <c r="B3" s="325"/>
      <c r="C3" s="325"/>
      <c r="D3" s="325"/>
      <c r="E3" s="325"/>
      <c r="F3" s="325"/>
      <c r="G3" s="325"/>
      <c r="H3" s="325"/>
    </row>
    <row r="4" spans="1:18" s="10" customFormat="1" ht="5.0999999999999996" customHeight="1" x14ac:dyDescent="0.2">
      <c r="A4" s="7"/>
      <c r="B4" s="7"/>
      <c r="C4" s="7"/>
      <c r="D4" s="8"/>
      <c r="E4" s="8"/>
      <c r="F4" s="9"/>
      <c r="G4" s="9"/>
      <c r="H4" s="9"/>
      <c r="J4" s="7"/>
      <c r="K4" s="7"/>
    </row>
    <row r="5" spans="1:18" s="3" customFormat="1" ht="15.75" x14ac:dyDescent="0.25">
      <c r="A5" s="13"/>
      <c r="B5" s="326" t="s">
        <v>621</v>
      </c>
    </row>
    <row r="7" spans="1:18" x14ac:dyDescent="0.2">
      <c r="A7" s="12"/>
    </row>
    <row r="8" spans="1:18" ht="45.75" customHeight="1" x14ac:dyDescent="0.2">
      <c r="A8" s="12"/>
      <c r="B8" s="340" t="s">
        <v>622</v>
      </c>
      <c r="C8" s="340"/>
      <c r="D8" s="340" t="s">
        <v>623</v>
      </c>
      <c r="E8" s="340"/>
      <c r="F8" s="340" t="s">
        <v>624</v>
      </c>
      <c r="G8" s="340"/>
      <c r="H8" s="340" t="s">
        <v>625</v>
      </c>
      <c r="I8" s="340"/>
      <c r="J8" s="340" t="s">
        <v>626</v>
      </c>
      <c r="K8" s="340"/>
      <c r="L8" s="340"/>
      <c r="M8" s="340"/>
      <c r="N8" s="340" t="s">
        <v>627</v>
      </c>
      <c r="O8" s="340" t="s">
        <v>628</v>
      </c>
      <c r="P8" s="327"/>
    </row>
    <row r="9" spans="1:18" ht="66" customHeight="1" x14ac:dyDescent="0.2">
      <c r="A9" s="12"/>
      <c r="B9" s="340"/>
      <c r="C9" s="340"/>
      <c r="D9" s="340" t="s">
        <v>629</v>
      </c>
      <c r="E9" s="340" t="s">
        <v>630</v>
      </c>
      <c r="F9" s="340" t="s">
        <v>631</v>
      </c>
      <c r="G9" s="340" t="s">
        <v>632</v>
      </c>
      <c r="H9" s="340" t="s">
        <v>633</v>
      </c>
      <c r="I9" s="340" t="s">
        <v>634</v>
      </c>
      <c r="J9" s="340" t="s">
        <v>635</v>
      </c>
      <c r="K9" s="340" t="s">
        <v>636</v>
      </c>
      <c r="L9" s="340" t="s">
        <v>637</v>
      </c>
      <c r="M9" s="340" t="s">
        <v>509</v>
      </c>
      <c r="N9" s="340"/>
      <c r="O9" s="340"/>
    </row>
    <row r="10" spans="1:18" x14ac:dyDescent="0.2">
      <c r="A10" s="12"/>
      <c r="B10" s="328"/>
      <c r="C10" s="329"/>
      <c r="D10" s="330" t="s">
        <v>103</v>
      </c>
      <c r="E10" s="330" t="s">
        <v>517</v>
      </c>
      <c r="F10" s="330" t="s">
        <v>104</v>
      </c>
      <c r="G10" s="330" t="s">
        <v>105</v>
      </c>
      <c r="H10" s="330" t="s">
        <v>106</v>
      </c>
      <c r="I10" s="330" t="s">
        <v>107</v>
      </c>
      <c r="J10" s="330" t="s">
        <v>113</v>
      </c>
      <c r="K10" s="330" t="s">
        <v>108</v>
      </c>
      <c r="L10" s="330" t="s">
        <v>109</v>
      </c>
      <c r="M10" s="329" t="s">
        <v>110</v>
      </c>
      <c r="N10" s="330" t="s">
        <v>518</v>
      </c>
      <c r="O10" s="330" t="s">
        <v>114</v>
      </c>
    </row>
    <row r="11" spans="1:18" x14ac:dyDescent="0.2">
      <c r="A11" s="12"/>
      <c r="B11" s="331" t="s">
        <v>103</v>
      </c>
      <c r="C11" s="332" t="s">
        <v>638</v>
      </c>
      <c r="D11" s="332"/>
      <c r="E11" s="332"/>
      <c r="F11" s="332"/>
      <c r="G11" s="332"/>
      <c r="H11" s="332"/>
      <c r="I11" s="332"/>
      <c r="J11" s="332"/>
      <c r="K11" s="332"/>
      <c r="L11" s="332"/>
      <c r="M11" s="332"/>
      <c r="N11" s="332"/>
      <c r="O11" s="332"/>
    </row>
    <row r="12" spans="1:18" x14ac:dyDescent="0.2">
      <c r="A12" s="12"/>
      <c r="B12" s="332"/>
      <c r="C12" s="332" t="s">
        <v>639</v>
      </c>
      <c r="D12" s="333">
        <f>'[4]2. Development'!$BR$34*8%*1000</f>
        <v>373372.03997840011</v>
      </c>
      <c r="E12" s="333"/>
      <c r="F12" s="332"/>
      <c r="G12" s="332"/>
      <c r="H12" s="332"/>
      <c r="I12" s="332"/>
      <c r="J12" s="333"/>
      <c r="K12" s="333"/>
      <c r="L12" s="333"/>
      <c r="M12" s="333"/>
      <c r="N12" s="334">
        <f>D12/SUM($D$12:$D$14)</f>
        <v>0.4909209021125</v>
      </c>
      <c r="O12" s="335">
        <v>0.01</v>
      </c>
      <c r="R12" s="336"/>
    </row>
    <row r="13" spans="1:18" x14ac:dyDescent="0.2">
      <c r="A13" s="12"/>
      <c r="B13" s="332"/>
      <c r="C13" s="332" t="s">
        <v>29</v>
      </c>
      <c r="D13" s="333">
        <f>'[4]2. Development'!$BR$36*8%*1000</f>
        <v>154902.0099568</v>
      </c>
      <c r="E13" s="333"/>
      <c r="F13" s="332"/>
      <c r="G13" s="332"/>
      <c r="H13" s="332"/>
      <c r="I13" s="332"/>
      <c r="J13" s="333"/>
      <c r="K13" s="333"/>
      <c r="L13" s="333"/>
      <c r="M13" s="333"/>
      <c r="N13" s="334">
        <f>D13/SUM($D$12:$D$14)</f>
        <v>0.20366986899027298</v>
      </c>
      <c r="O13" s="335">
        <v>0</v>
      </c>
      <c r="R13" s="336"/>
    </row>
    <row r="14" spans="1:18" x14ac:dyDescent="0.2">
      <c r="A14" s="12"/>
      <c r="B14" s="332"/>
      <c r="C14" s="332" t="s">
        <v>516</v>
      </c>
      <c r="D14" s="333">
        <f>'[4]2. Development'!$BR$35*8%*1000</f>
        <v>232280.32526400001</v>
      </c>
      <c r="E14" s="333"/>
      <c r="F14" s="332"/>
      <c r="G14" s="332"/>
      <c r="H14" s="332"/>
      <c r="I14" s="332"/>
      <c r="J14" s="333"/>
      <c r="K14" s="333"/>
      <c r="L14" s="333"/>
      <c r="M14" s="333"/>
      <c r="N14" s="334">
        <f>D14/SUM($D$12:$D$14)</f>
        <v>0.30540922889722705</v>
      </c>
      <c r="O14" s="335">
        <v>0</v>
      </c>
      <c r="R14" s="336"/>
    </row>
    <row r="15" spans="1:18" x14ac:dyDescent="0.2">
      <c r="A15" s="12"/>
      <c r="B15" s="16" t="s">
        <v>640</v>
      </c>
    </row>
    <row r="16" spans="1:18" x14ac:dyDescent="0.2">
      <c r="A16" s="12"/>
    </row>
    <row r="17" spans="1:15" x14ac:dyDescent="0.2">
      <c r="A17" s="12"/>
      <c r="B17" s="99" t="s">
        <v>641</v>
      </c>
      <c r="C17" s="99"/>
      <c r="D17" s="99"/>
    </row>
    <row r="18" spans="1:15" x14ac:dyDescent="0.2">
      <c r="A18" s="12"/>
    </row>
    <row r="19" spans="1:15" x14ac:dyDescent="0.2">
      <c r="A19" s="12"/>
      <c r="B19" s="278" t="s">
        <v>642</v>
      </c>
      <c r="C19" s="278"/>
      <c r="D19" s="278"/>
      <c r="E19" s="278"/>
      <c r="F19" s="278"/>
      <c r="G19" s="278"/>
      <c r="H19" s="278"/>
      <c r="I19" s="278"/>
      <c r="J19" s="278"/>
      <c r="K19" s="278"/>
      <c r="L19" s="278"/>
      <c r="M19" s="278" t="s">
        <v>643</v>
      </c>
      <c r="N19" s="278"/>
      <c r="O19" s="278"/>
    </row>
    <row r="20" spans="1:15" x14ac:dyDescent="0.2">
      <c r="A20" s="12"/>
      <c r="B20" s="331"/>
      <c r="C20" s="442"/>
      <c r="D20" s="443"/>
      <c r="E20" s="443"/>
      <c r="F20" s="443"/>
      <c r="G20" s="443"/>
      <c r="H20" s="443"/>
      <c r="I20" s="443"/>
      <c r="J20" s="443"/>
      <c r="K20" s="443"/>
      <c r="L20" s="444"/>
      <c r="M20" s="445" t="s">
        <v>103</v>
      </c>
      <c r="N20" s="445"/>
      <c r="O20" s="445"/>
    </row>
    <row r="21" spans="1:15" x14ac:dyDescent="0.2">
      <c r="A21" s="12"/>
      <c r="B21" s="331" t="s">
        <v>103</v>
      </c>
      <c r="C21" s="451" t="s">
        <v>644</v>
      </c>
      <c r="D21" s="451"/>
      <c r="E21" s="451"/>
      <c r="F21" s="451"/>
      <c r="G21" s="451"/>
      <c r="H21" s="451"/>
      <c r="I21" s="451"/>
      <c r="J21" s="451"/>
      <c r="K21" s="451"/>
      <c r="L21" s="451"/>
      <c r="M21" s="450">
        <f>D12+D13+D14</f>
        <v>760554.37519920012</v>
      </c>
      <c r="N21" s="450"/>
      <c r="O21" s="450"/>
    </row>
    <row r="22" spans="1:15" x14ac:dyDescent="0.2">
      <c r="A22" s="12"/>
      <c r="B22" s="331" t="s">
        <v>517</v>
      </c>
      <c r="C22" s="446" t="s">
        <v>645</v>
      </c>
      <c r="D22" s="447"/>
      <c r="E22" s="447"/>
      <c r="F22" s="447"/>
      <c r="G22" s="447"/>
      <c r="H22" s="447"/>
      <c r="I22" s="447"/>
      <c r="J22" s="447"/>
      <c r="K22" s="447"/>
      <c r="L22" s="448"/>
      <c r="M22" s="449">
        <f>N12*O12</f>
        <v>4.9092090211250005E-3</v>
      </c>
      <c r="N22" s="449"/>
      <c r="O22" s="449"/>
    </row>
    <row r="23" spans="1:15" x14ac:dyDescent="0.2">
      <c r="A23" s="12"/>
      <c r="B23" s="331" t="s">
        <v>104</v>
      </c>
      <c r="C23" s="337" t="s">
        <v>646</v>
      </c>
      <c r="D23" s="338"/>
      <c r="E23" s="338"/>
      <c r="F23" s="338"/>
      <c r="G23" s="338"/>
      <c r="H23" s="338"/>
      <c r="I23" s="338"/>
      <c r="J23" s="338"/>
      <c r="K23" s="338"/>
      <c r="L23" s="339"/>
      <c r="M23" s="450">
        <f>+M21*M22</f>
        <v>3733.7203997840015</v>
      </c>
      <c r="N23" s="450"/>
      <c r="O23" s="450"/>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x14ac:dyDescent="0.2">
      <c r="A57" s="20"/>
    </row>
    <row r="58" spans="1:1" x14ac:dyDescent="0.2">
      <c r="A58" s="20"/>
    </row>
    <row r="59" spans="1:1" x14ac:dyDescent="0.2">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D12" sqref="D12"/>
    </sheetView>
  </sheetViews>
  <sheetFormatPr defaultColWidth="11.42578125" defaultRowHeight="11.25" x14ac:dyDescent="0.2"/>
  <cols>
    <col min="1" max="1" width="2.7109375" style="23" customWidth="1"/>
    <col min="2" max="2" width="11.42578125" style="16"/>
    <col min="3" max="3" width="71.7109375" style="16" customWidth="1"/>
    <col min="4" max="4" width="13.7109375" style="16" customWidth="1"/>
    <col min="5"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2"/>
      <c r="C3" s="452"/>
      <c r="D3" s="452"/>
      <c r="E3" s="452"/>
      <c r="F3" s="452"/>
      <c r="G3" s="452"/>
      <c r="H3" s="452"/>
    </row>
    <row r="4" spans="1:11" s="10" customFormat="1" ht="5.0999999999999996" customHeight="1" x14ac:dyDescent="0.2">
      <c r="A4" s="7"/>
      <c r="B4" s="7"/>
      <c r="C4" s="7"/>
      <c r="D4" s="8"/>
      <c r="E4" s="8"/>
      <c r="F4" s="9"/>
      <c r="G4" s="9"/>
      <c r="H4" s="9"/>
      <c r="J4" s="7"/>
      <c r="K4" s="7"/>
    </row>
    <row r="5" spans="1:11" s="3" customFormat="1" ht="18" x14ac:dyDescent="0.25">
      <c r="A5" s="13"/>
      <c r="B5" s="136" t="s">
        <v>31</v>
      </c>
    </row>
    <row r="7" spans="1:11" x14ac:dyDescent="0.2">
      <c r="A7" s="14"/>
      <c r="B7" s="453" t="s">
        <v>22</v>
      </c>
      <c r="C7" s="454"/>
      <c r="D7" s="24">
        <v>44196</v>
      </c>
    </row>
    <row r="8" spans="1:11" x14ac:dyDescent="0.2">
      <c r="A8" s="14"/>
      <c r="B8" s="25">
        <v>1</v>
      </c>
      <c r="C8" s="26" t="s">
        <v>32</v>
      </c>
      <c r="D8" s="27">
        <f>11586258.58138/1000</f>
        <v>11586.25858138</v>
      </c>
    </row>
    <row r="9" spans="1:11" ht="22.5" x14ac:dyDescent="0.2">
      <c r="A9" s="12"/>
      <c r="B9" s="28">
        <v>2</v>
      </c>
      <c r="C9" s="26" t="s">
        <v>33</v>
      </c>
      <c r="D9" s="29"/>
    </row>
    <row r="10" spans="1:11" ht="22.5"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2.5" x14ac:dyDescent="0.2">
      <c r="A13" s="12"/>
      <c r="B13" s="25">
        <v>6</v>
      </c>
      <c r="C13" s="26" t="s">
        <v>37</v>
      </c>
      <c r="D13" s="29">
        <f>'[4]8. Capital'!$BJ$77/10000</f>
        <v>380.255329281554</v>
      </c>
    </row>
    <row r="14" spans="1:11" x14ac:dyDescent="0.2">
      <c r="A14" s="12"/>
      <c r="B14" s="25">
        <v>7</v>
      </c>
      <c r="C14" s="26" t="s">
        <v>38</v>
      </c>
      <c r="D14" s="29"/>
    </row>
    <row r="15" spans="1:11" x14ac:dyDescent="0.2">
      <c r="A15" s="12"/>
      <c r="B15" s="30">
        <v>8</v>
      </c>
      <c r="C15" s="31" t="s">
        <v>39</v>
      </c>
      <c r="D15" s="29">
        <f>D8+D13</f>
        <v>11966.513910661553</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4475082F71B04BA1AF6FD28499429F" ma:contentTypeVersion="0" ma:contentTypeDescription="Opprett et nytt dokument." ma:contentTypeScope="" ma:versionID="84092da22a69e83aa818b1756a233516">
  <xsd:schema xmlns:xsd="http://www.w3.org/2001/XMLSchema" xmlns:xs="http://www.w3.org/2001/XMLSchema" xmlns:p="http://schemas.microsoft.com/office/2006/metadata/properties" xmlns:ns2="8790d953-e845-4493-8d94-ad70ad5c0e0c" targetNamespace="http://schemas.microsoft.com/office/2006/metadata/properties" ma:root="true" ma:fieldsID="04c3746b2776c7f53c3bd7a6d0d58fcf" ns2:_="">
    <xsd:import namespace="8790d953-e845-4493-8d94-ad70ad5c0e0c"/>
    <xsd:element name="properties">
      <xsd:complexType>
        <xsd:sequence>
          <xsd:element name="documentManagement">
            <xsd:complexType>
              <xsd:all>
                <xsd:element ref="ns2:Historisk_x0020_Endret_x0020_av" minOccurs="0"/>
                <xsd:element ref="ns2:Historisk_x0020_Opprettet_x0020_av"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90d953-e845-4493-8d94-ad70ad5c0e0c" elementFormDefault="qualified">
    <xsd:import namespace="http://schemas.microsoft.com/office/2006/documentManagement/types"/>
    <xsd:import namespace="http://schemas.microsoft.com/office/infopath/2007/PartnerControls"/>
    <xsd:element name="Historisk_x0020_Endret_x0020_av" ma:index="8" nillable="true" ma:displayName="Historisk Endret av" ma:internalName="Historisk_x0020_Endret_x0020_av">
      <xsd:simpleType>
        <xsd:restriction base="dms:Text">
          <xsd:maxLength value="255"/>
        </xsd:restriction>
      </xsd:simpleType>
    </xsd:element>
    <xsd:element name="Historisk_x0020_Opprettet_x0020_av" ma:index="9" nillable="true" ma:displayName="Historisk Opprettet av" ma:internalName="Historisk_x0020_Opprettet_x0020_av">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istorisk_x0020_Endret_x0020_av xmlns="8790d953-e845-4493-8d94-ad70ad5c0e0c" xsi:nil="true"/>
    <Historisk_x0020_Opprettet_x0020_av xmlns="8790d953-e845-4493-8d94-ad70ad5c0e0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0A44F2-19DA-4A27-9F43-3234778FA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90d953-e845-4493-8d94-ad70ad5c0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25438D-76F8-40A2-84BE-76F0CEFEBF52}">
  <ds:schemaRefs>
    <ds:schemaRef ds:uri="http://purl.org/dc/terms/"/>
    <ds:schemaRef ds:uri="http://schemas.microsoft.com/office/2006/metadata/properties"/>
    <ds:schemaRef ds:uri="http://purl.org/dc/dcmitype/"/>
    <ds:schemaRef ds:uri="http://purl.org/dc/elements/1.1/"/>
    <ds:schemaRef ds:uri="8790d953-e845-4493-8d94-ad70ad5c0e0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EEEC020-9CBC-40BB-B760-AFAF04E94B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'7'!Print_Area</vt:lpstr>
      <vt:lpstr>'8'!Print_Area</vt:lpstr>
      <vt:lpstr>'9'!Print_Area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Thomas Wivestad</cp:lastModifiedBy>
  <dcterms:created xsi:type="dcterms:W3CDTF">2020-02-12T13:45:07Z</dcterms:created>
  <dcterms:modified xsi:type="dcterms:W3CDTF">2021-05-11T20:13:53Z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0x0101003C4475082F71B04BA1AF6FD28499429F</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